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57" documentId="8_{F8850DB0-41D9-4266-A014-5A892DF862AB}" xr6:coauthVersionLast="45" xr6:coauthVersionMax="47" xr10:uidLastSave="{3B460970-EF96-441C-9C1D-1810A5E7620A}"/>
  <bookViews>
    <workbookView xWindow="28680" yWindow="-120" windowWidth="29040" windowHeight="15840" tabRatio="494" firstSheet="1" activeTab="1" xr2:uid="{00000000-000D-0000-FFFF-FFFF00000000}"/>
  </bookViews>
  <sheets>
    <sheet name="Kergliiklusteed (2)" sheetId="13" state="hidden" r:id="rId1"/>
    <sheet name="2022 peatused" sheetId="11" r:id="rId2"/>
    <sheet name="ÜT-peatused (2)" sheetId="10" state="hidden" r:id="rId3"/>
    <sheet name="ÜT-peatused" sheetId="7" state="hidden" r:id="rId4"/>
    <sheet name="2022 kergliiklusteed" sheetId="8" r:id="rId5"/>
    <sheet name="2023 peatused" sheetId="14" r:id="rId6"/>
    <sheet name="2023 kergliiklusteed" sheetId="15" r:id="rId7"/>
  </sheets>
  <definedNames>
    <definedName name="_xlnm._FilterDatabase" localSheetId="4" hidden="1">'2022 kergliiklusteed'!$B$1:$K$10</definedName>
    <definedName name="_xlnm._FilterDatabase" localSheetId="1" hidden="1">'2022 peatused'!$B$1:$I$5</definedName>
    <definedName name="_xlnm._FilterDatabase" localSheetId="3" hidden="1">'ÜT-peatused'!$A$2:$AE$2</definedName>
    <definedName name="_xlnm._FilterDatabase" localSheetId="2" hidden="1">'ÜT-peatused (2)'!$A$2:$AE$2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5" l="1"/>
  <c r="L4" i="15"/>
  <c r="L5" i="15"/>
  <c r="L6" i="15"/>
  <c r="L7" i="15"/>
  <c r="L8" i="15"/>
  <c r="L9" i="15"/>
  <c r="L2" i="15"/>
  <c r="L3" i="8"/>
  <c r="L4" i="8"/>
  <c r="L5" i="8"/>
  <c r="L6" i="8"/>
  <c r="L7" i="8"/>
  <c r="L8" i="8"/>
  <c r="L9" i="8"/>
  <c r="L10" i="8"/>
  <c r="L2" i="8"/>
  <c r="J3" i="14" l="1"/>
  <c r="J4" i="14"/>
  <c r="J5" i="14"/>
  <c r="J6" i="14"/>
  <c r="J7" i="14"/>
  <c r="J8" i="14"/>
  <c r="J2" i="14"/>
  <c r="J2" i="11"/>
  <c r="J3" i="11"/>
  <c r="J4" i="11"/>
  <c r="J5" i="11"/>
  <c r="J6" i="15" l="1"/>
  <c r="AE5" i="13" l="1"/>
  <c r="AE6" i="13"/>
  <c r="AE7" i="13" s="1"/>
  <c r="AE8" i="13" s="1"/>
  <c r="AE9" i="13" s="1"/>
  <c r="AE10" i="13" s="1"/>
  <c r="AE11" i="13" s="1"/>
  <c r="AE12" i="13" s="1"/>
  <c r="AE13" i="13" s="1"/>
  <c r="AE14" i="13" s="1"/>
  <c r="AE15" i="13" s="1"/>
  <c r="AE16" i="13" s="1"/>
  <c r="AE17" i="13" s="1"/>
  <c r="AE18" i="13" s="1"/>
  <c r="AE19" i="13" s="1"/>
  <c r="AE20" i="13" s="1"/>
  <c r="AE21" i="13" s="1"/>
  <c r="AE22" i="13" s="1"/>
  <c r="AE23" i="13" s="1"/>
  <c r="AE24" i="13" s="1"/>
  <c r="AE25" i="13" s="1"/>
  <c r="AE26" i="13" s="1"/>
  <c r="AE27" i="13" s="1"/>
  <c r="AE28" i="13" s="1"/>
  <c r="AE29" i="13" s="1"/>
  <c r="AE4" i="13"/>
  <c r="AE3" i="13"/>
  <c r="AB42" i="13"/>
  <c r="R42" i="13"/>
  <c r="I42" i="13"/>
  <c r="K42" i="13" s="1"/>
  <c r="AB41" i="13"/>
  <c r="R41" i="13"/>
  <c r="I41" i="13"/>
  <c r="K41" i="13" s="1"/>
  <c r="AB40" i="13"/>
  <c r="R40" i="13"/>
  <c r="I40" i="13"/>
  <c r="K40" i="13" s="1"/>
  <c r="AB39" i="13"/>
  <c r="R39" i="13"/>
  <c r="I39" i="13"/>
  <c r="K39" i="13" s="1"/>
  <c r="AB38" i="13"/>
  <c r="R38" i="13"/>
  <c r="I38" i="13"/>
  <c r="K38" i="13" s="1"/>
  <c r="AB37" i="13"/>
  <c r="R37" i="13"/>
  <c r="I37" i="13"/>
  <c r="K37" i="13" s="1"/>
  <c r="R21" i="13"/>
  <c r="I21" i="13"/>
  <c r="K21" i="13" s="1"/>
  <c r="AD21" i="13" s="1"/>
  <c r="R7" i="13"/>
  <c r="I7" i="13"/>
  <c r="K7" i="13" s="1"/>
  <c r="AB16" i="13"/>
  <c r="R16" i="13"/>
  <c r="I16" i="13"/>
  <c r="K16" i="13" s="1"/>
  <c r="AD16" i="13" s="1"/>
  <c r="AB27" i="13"/>
  <c r="R27" i="13"/>
  <c r="I27" i="13"/>
  <c r="K27" i="13" s="1"/>
  <c r="AD27" i="13" s="1"/>
  <c r="R5" i="13"/>
  <c r="I5" i="13"/>
  <c r="K5" i="13" s="1"/>
  <c r="AD5" i="13" s="1"/>
  <c r="AB24" i="13"/>
  <c r="R24" i="13"/>
  <c r="I24" i="13"/>
  <c r="K24" i="13" s="1"/>
  <c r="AD24" i="13" s="1"/>
  <c r="AD9" i="13"/>
  <c r="AB9" i="13"/>
  <c r="R9" i="13"/>
  <c r="I9" i="13"/>
  <c r="AB31" i="13"/>
  <c r="R31" i="13"/>
  <c r="I31" i="13"/>
  <c r="K31" i="13" s="1"/>
  <c r="AD31" i="13" s="1"/>
  <c r="AB3" i="13"/>
  <c r="R3" i="13"/>
  <c r="I3" i="13"/>
  <c r="K3" i="13" s="1"/>
  <c r="AD3" i="13" s="1"/>
  <c r="R18" i="13"/>
  <c r="K18" i="13"/>
  <c r="AD18" i="13" s="1"/>
  <c r="I18" i="13"/>
  <c r="R19" i="13"/>
  <c r="I19" i="13"/>
  <c r="K19" i="13" s="1"/>
  <c r="AD19" i="13" s="1"/>
  <c r="R29" i="13"/>
  <c r="I29" i="13"/>
  <c r="K29" i="13" s="1"/>
  <c r="R20" i="13"/>
  <c r="O20" i="13"/>
  <c r="I20" i="13"/>
  <c r="K20" i="13" s="1"/>
  <c r="AB20" i="13" s="1"/>
  <c r="R10" i="13"/>
  <c r="I10" i="13"/>
  <c r="K10" i="13" s="1"/>
  <c r="AB32" i="13"/>
  <c r="R32" i="13"/>
  <c r="I32" i="13"/>
  <c r="K32" i="13" s="1"/>
  <c r="AD32" i="13" s="1"/>
  <c r="AB13" i="13"/>
  <c r="R13" i="13"/>
  <c r="I13" i="13"/>
  <c r="K13" i="13" s="1"/>
  <c r="AD13" i="13" s="1"/>
  <c r="R30" i="13"/>
  <c r="K30" i="13"/>
  <c r="AD30" i="13" s="1"/>
  <c r="I30" i="13"/>
  <c r="R17" i="13"/>
  <c r="I17" i="13"/>
  <c r="K17" i="13" s="1"/>
  <c r="AD17" i="13" s="1"/>
  <c r="AB25" i="13"/>
  <c r="R25" i="13"/>
  <c r="J25" i="13"/>
  <c r="I25" i="13"/>
  <c r="K25" i="13" s="1"/>
  <c r="AD25" i="13" s="1"/>
  <c r="R23" i="13"/>
  <c r="K23" i="13"/>
  <c r="AD23" i="13" s="1"/>
  <c r="I23" i="13"/>
  <c r="R15" i="13"/>
  <c r="I15" i="13"/>
  <c r="K15" i="13" s="1"/>
  <c r="AD15" i="13" s="1"/>
  <c r="R14" i="13"/>
  <c r="I14" i="13"/>
  <c r="K14" i="13" s="1"/>
  <c r="AB22" i="13"/>
  <c r="R22" i="13"/>
  <c r="I22" i="13"/>
  <c r="K22" i="13" s="1"/>
  <c r="AD22" i="13" s="1"/>
  <c r="R12" i="13"/>
  <c r="I12" i="13"/>
  <c r="K12" i="13" s="1"/>
  <c r="AB28" i="13"/>
  <c r="R28" i="13"/>
  <c r="I28" i="13"/>
  <c r="K28" i="13" s="1"/>
  <c r="AD28" i="13" s="1"/>
  <c r="AB4" i="13"/>
  <c r="R4" i="13"/>
  <c r="I4" i="13"/>
  <c r="K4" i="13" s="1"/>
  <c r="AD4" i="13" s="1"/>
  <c r="AB8" i="13"/>
  <c r="R8" i="13"/>
  <c r="I8" i="13"/>
  <c r="K8" i="13" s="1"/>
  <c r="AD8" i="13" s="1"/>
  <c r="R11" i="13"/>
  <c r="O11" i="13"/>
  <c r="I11" i="13"/>
  <c r="K11" i="13" s="1"/>
  <c r="R26" i="13"/>
  <c r="O26" i="13"/>
  <c r="I26" i="13"/>
  <c r="K26" i="13" s="1"/>
  <c r="AD26" i="13" s="1"/>
  <c r="R6" i="13"/>
  <c r="I6" i="13"/>
  <c r="K6" i="13" s="1"/>
  <c r="A29" i="7"/>
  <c r="AD9" i="10"/>
  <c r="AD10" i="10"/>
  <c r="AD11" i="10"/>
  <c r="AD12" i="10"/>
  <c r="AD13" i="10" s="1"/>
  <c r="AD14" i="10" s="1"/>
  <c r="AD15" i="10" s="1"/>
  <c r="AD16" i="10" s="1"/>
  <c r="AD17" i="10" s="1"/>
  <c r="AD18" i="10" s="1"/>
  <c r="AD19" i="10" s="1"/>
  <c r="AD20" i="10" s="1"/>
  <c r="AD21" i="10" s="1"/>
  <c r="AD22" i="10" s="1"/>
  <c r="AD23" i="10" s="1"/>
  <c r="AD24" i="10" s="1"/>
  <c r="AD25" i="10" s="1"/>
  <c r="AD26" i="10" s="1"/>
  <c r="AD27" i="10" s="1"/>
  <c r="AD28" i="10" s="1"/>
  <c r="AD29" i="10" s="1"/>
  <c r="AD30" i="10" s="1"/>
  <c r="AD31" i="10" s="1"/>
  <c r="AD32" i="10" s="1"/>
  <c r="AD5" i="10"/>
  <c r="AD6" i="10" s="1"/>
  <c r="AD7" i="10" s="1"/>
  <c r="AD8" i="10" s="1"/>
  <c r="AD4" i="10"/>
  <c r="AD3" i="10"/>
  <c r="AE32" i="10"/>
  <c r="AC32" i="10"/>
  <c r="AA32" i="10"/>
  <c r="P32" i="10"/>
  <c r="AC31" i="10"/>
  <c r="AA31" i="10"/>
  <c r="P31" i="10"/>
  <c r="AC30" i="10"/>
  <c r="AA30" i="10"/>
  <c r="P30" i="10"/>
  <c r="AC29" i="10"/>
  <c r="AA29" i="10"/>
  <c r="P29" i="10"/>
  <c r="P28" i="10"/>
  <c r="M28" i="10"/>
  <c r="AC28" i="10" s="1"/>
  <c r="P27" i="10"/>
  <c r="M27" i="10"/>
  <c r="AC27" i="10" s="1"/>
  <c r="AC26" i="10"/>
  <c r="AA26" i="10"/>
  <c r="P26" i="10"/>
  <c r="AC25" i="10"/>
  <c r="AA25" i="10"/>
  <c r="P25" i="10"/>
  <c r="AC24" i="10"/>
  <c r="AA24" i="10"/>
  <c r="P24" i="10"/>
  <c r="AC23" i="10"/>
  <c r="AA23" i="10"/>
  <c r="P23" i="10"/>
  <c r="AC22" i="10"/>
  <c r="AA22" i="10"/>
  <c r="P22" i="10"/>
  <c r="AC21" i="10"/>
  <c r="AA21" i="10"/>
  <c r="P21" i="10"/>
  <c r="AC20" i="10"/>
  <c r="AA20" i="10"/>
  <c r="P20" i="10"/>
  <c r="AC19" i="10"/>
  <c r="AA19" i="10"/>
  <c r="P19" i="10"/>
  <c r="AC18" i="10"/>
  <c r="AA18" i="10"/>
  <c r="P18" i="10"/>
  <c r="AC17" i="10"/>
  <c r="AA17" i="10"/>
  <c r="P17" i="10"/>
  <c r="AC16" i="10"/>
  <c r="AA16" i="10"/>
  <c r="P16" i="10"/>
  <c r="AC15" i="10"/>
  <c r="AA15" i="10"/>
  <c r="P15" i="10"/>
  <c r="AC14" i="10"/>
  <c r="AA14" i="10"/>
  <c r="P14" i="10"/>
  <c r="AC13" i="10"/>
  <c r="AA13" i="10"/>
  <c r="P13" i="10"/>
  <c r="AC12" i="10"/>
  <c r="AA12" i="10"/>
  <c r="P12" i="10"/>
  <c r="AC11" i="10"/>
  <c r="AA11" i="10"/>
  <c r="P11" i="10"/>
  <c r="AC10" i="10"/>
  <c r="AA10" i="10"/>
  <c r="P10" i="10"/>
  <c r="AC9" i="10"/>
  <c r="AA9" i="10"/>
  <c r="P9" i="10"/>
  <c r="AC8" i="10"/>
  <c r="AA8" i="10"/>
  <c r="P8" i="10"/>
  <c r="AC7" i="10"/>
  <c r="AA7" i="10"/>
  <c r="P7" i="10"/>
  <c r="AC6" i="10"/>
  <c r="AA6" i="10"/>
  <c r="P6" i="10"/>
  <c r="AC5" i="10"/>
  <c r="P5" i="10"/>
  <c r="M5" i="10"/>
  <c r="AA5" i="10" s="1"/>
  <c r="AC4" i="10"/>
  <c r="AA4" i="10"/>
  <c r="P4" i="10"/>
  <c r="AC3" i="10"/>
  <c r="AA3" i="10"/>
  <c r="P3" i="10"/>
  <c r="AC30" i="7"/>
  <c r="AC31" i="7"/>
  <c r="AC32" i="7"/>
  <c r="AC33" i="7"/>
  <c r="AC4" i="7"/>
  <c r="AC6" i="7"/>
  <c r="AC7" i="7"/>
  <c r="AC8" i="7"/>
  <c r="AC9" i="7"/>
  <c r="AC10" i="7"/>
  <c r="AC11" i="7"/>
  <c r="AC12" i="7"/>
  <c r="AC13" i="7"/>
  <c r="AC14" i="7"/>
  <c r="AC15" i="7"/>
  <c r="AC16" i="7"/>
  <c r="AC17" i="7"/>
  <c r="AC18" i="7"/>
  <c r="AC19" i="7"/>
  <c r="AC20" i="7"/>
  <c r="AC21" i="7"/>
  <c r="AC22" i="7"/>
  <c r="AC23" i="7"/>
  <c r="AC24" i="7"/>
  <c r="AC25" i="7"/>
  <c r="AC26" i="7"/>
  <c r="AC3" i="7"/>
  <c r="AA3" i="7"/>
  <c r="AD29" i="13" l="1"/>
  <c r="AB29" i="13"/>
  <c r="O10" i="13"/>
  <c r="AB10" i="13" s="1"/>
  <c r="AB17" i="13"/>
  <c r="AB26" i="13"/>
  <c r="AB15" i="13"/>
  <c r="AD7" i="13"/>
  <c r="AB7" i="13"/>
  <c r="AB11" i="13"/>
  <c r="AD11" i="13"/>
  <c r="AD6" i="13"/>
  <c r="AB6" i="13"/>
  <c r="O12" i="13"/>
  <c r="AB12" i="13" s="1"/>
  <c r="O14" i="13"/>
  <c r="AB14" i="13" s="1"/>
  <c r="AB23" i="13"/>
  <c r="AB30" i="13"/>
  <c r="AB19" i="13"/>
  <c r="AD20" i="13"/>
  <c r="AB18" i="13"/>
  <c r="AB5" i="13"/>
  <c r="AB21" i="13"/>
  <c r="AA27" i="10"/>
  <c r="AA28" i="10"/>
  <c r="AD12" i="13" l="1"/>
  <c r="AD10" i="13"/>
  <c r="AD14" i="13"/>
  <c r="AA33" i="7" l="1"/>
  <c r="AA13" i="7"/>
  <c r="AA23" i="7"/>
  <c r="AA21" i="7"/>
  <c r="AA9" i="7"/>
  <c r="AA20" i="7"/>
  <c r="AA15" i="7"/>
  <c r="AA17" i="7"/>
  <c r="AA31" i="7"/>
  <c r="AA16" i="7"/>
  <c r="AA7" i="7"/>
  <c r="AA10" i="7"/>
  <c r="AA11" i="7"/>
  <c r="AA12" i="7"/>
  <c r="AA22" i="7"/>
  <c r="AA30" i="7"/>
  <c r="AA18" i="7"/>
  <c r="AA8" i="7"/>
  <c r="AA24" i="7"/>
  <c r="AA4" i="7"/>
  <c r="AA26" i="7"/>
  <c r="AA25" i="7"/>
  <c r="AA14" i="7"/>
  <c r="AA19" i="7"/>
  <c r="AA32" i="7"/>
  <c r="AA6" i="7"/>
  <c r="P6" i="7" l="1"/>
  <c r="P32" i="7"/>
  <c r="P19" i="7"/>
  <c r="P14" i="7"/>
  <c r="P25" i="7"/>
  <c r="P26" i="7"/>
  <c r="P4" i="7"/>
  <c r="P24" i="7"/>
  <c r="P8" i="7"/>
  <c r="M5" i="7" l="1"/>
  <c r="AA5" i="7" l="1"/>
  <c r="AC5" i="7"/>
  <c r="P18" i="7" l="1"/>
  <c r="P30" i="7"/>
  <c r="P22" i="7"/>
  <c r="P12" i="7"/>
  <c r="P11" i="7"/>
  <c r="P10" i="7"/>
  <c r="P7" i="7"/>
  <c r="P16" i="7"/>
  <c r="P31" i="7"/>
  <c r="P17" i="7"/>
  <c r="P28" i="7"/>
  <c r="M28" i="7"/>
  <c r="P5" i="7"/>
  <c r="P27" i="7"/>
  <c r="M27" i="7"/>
  <c r="P15" i="7"/>
  <c r="P20" i="7"/>
  <c r="P9" i="7"/>
  <c r="P21" i="7"/>
  <c r="P23" i="7"/>
  <c r="P13" i="7"/>
  <c r="P33" i="7"/>
  <c r="P3" i="7"/>
  <c r="AA28" i="7" l="1"/>
  <c r="AC28" i="7"/>
  <c r="AA27" i="7"/>
  <c r="AC27" i="7"/>
  <c r="J9" i="8"/>
  <c r="J6" i="8"/>
  <c r="J4" i="8"/>
  <c r="J2" i="8"/>
  <c r="J5" i="8"/>
  <c r="J10" i="8"/>
  <c r="J7" i="8"/>
  <c r="J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tc={05E9DC06-6787-4714-832E-A1CD8D58A09C}</author>
    <author>tc={23245F9B-1CE2-4A10-831A-8E1547596F11}</author>
    <author>tc={D5C3369F-CD47-4B17-A92C-BF0FAB1BBBF2}</author>
    <author>tc={9C5FF526-33CD-42D3-8974-1171FCB30D9F}</author>
    <author>tc={3FD9A8A4-2D7F-4013-9AB8-139184B7C519}</author>
    <author>tc={3900CDB3-871E-4EAB-A108-2850A6C2FCB2}</author>
    <author>tc={2A26D328-1FE1-433C-9C30-9D77F54A6952}</author>
    <author>tc={9FE2872E-B2BD-435B-9BB1-0C10EA491B0E}</author>
    <author>tc={E203E8F3-63A8-4BD0-9EAB-36E38441047F}</author>
    <author>tc={BD91CBE3-457A-4820-85B2-94D5C77B417F}</author>
    <author>tc={57061AF7-F72E-4309-A0C0-A9DF92D640A2}</author>
    <author>tc={5710805C-08F9-42E2-8010-73DC39D00E09}</author>
    <author>tc={C6FCCADD-F4B8-4CD0-8A13-870920534F4C}</author>
    <author>tc={E7367A95-2D08-4EAE-8826-435A1EF20065}</author>
    <author>tc={4FF9AF39-BBE3-4C11-8BA0-6558A6EFEA9E}</author>
    <author>tc={A232B0A5-130F-4C01-9B95-CDD5AE5CE61C}</author>
    <author>tc={715D5AC2-90C8-498C-85F5-E4DC5B39B28E}</author>
    <author>tc={5F951500-6CC0-49C8-9948-C9EDD9D867BF}</author>
    <author>tc={56DFC779-D430-421B-85B0-CBB4B9B49D87}</author>
    <author>tc={22602AFA-8BDA-46D4-A3FE-5F649AC39298}</author>
    <author>tc={7C083CBE-A2CB-4E92-B480-E6EA8769459B}</author>
    <author>tc={DD1D1C66-9FC7-41C3-ACB0-1A3349EC6313}</author>
    <author>tc={7458DC6A-726F-4CF5-9B55-081CEF9BDEDD}</author>
    <author>tc={92C48910-6773-44FE-9262-909D8A7E1918}</author>
    <author>tc={3FF54B92-23BA-43BF-96B8-36A350B47452}</author>
    <author>tc={8C7B8945-E635-4127-82C6-9C67211017F0}</author>
    <author>tc={048EAC86-E839-4106-A0C4-3D18DB7E7509}</author>
    <author>tc={F498855E-682B-44B3-822B-3B6A7E1CCA15}</author>
  </authors>
  <commentList>
    <comment ref="A3" authorId="0" shapeId="0" xr:uid="{05E9DC06-6787-4714-832E-A1CD8D58A09C}">
      <text>
        <t>[Lõimkommentaar]
Teie Exceli versioon võimaldab teil seda lõimkommentaari lugeda, ent kõik sellesse tehtud muudatused eemaldatakse, kui fail avatakse Exceli uuemas versioonis. Lisateavet leiate siit: https://go.microsoft.com/fwlink/?linkid=870924.
Kommentaar:
    Kattub taotlusega nr 193</t>
      </text>
    </comment>
    <comment ref="A4" authorId="1" shapeId="0" xr:uid="{23245F9B-1CE2-4A10-831A-8E1547596F11}">
      <text>
        <t>[Lõimkommentaar]
Teie Exceli versioon võimaldab teil seda lõimkommentaari lugeda, ent kõik sellesse tehtud muudatused eemaldatakse, kui fail avatakse Exceli uuemas versioonis. Lisateavet leiate siit: https://go.microsoft.com/fwlink/?linkid=870924.
Kommentaar:
    Kattub taotlusega nr 32 (osaliselt)</t>
      </text>
    </comment>
    <comment ref="A5" authorId="2" shapeId="0" xr:uid="{D5C3369F-CD47-4B17-A92C-BF0FAB1BBBF2}">
      <text>
        <t>[Lõimkommentaar]
Teie Exceli versioon võimaldab teil seda lõimkommentaari lugeda, ent kõik sellesse tehtud muudatused eemaldatakse, kui fail avatakse Exceli uuemas versioonis. Lisateavet leiate siit: https://go.microsoft.com/fwlink/?linkid=870924.
Kommentaar:
    Kattub taotlusega nr 178</t>
      </text>
    </comment>
    <comment ref="H6" authorId="3" shapeId="0" xr:uid="{9C5FF526-33CD-42D3-8974-1171FCB30D9F}">
      <text>
        <t>[Lõimkommentaar]
Teie Exceli versioon võimaldab teil seda lõimkommentaari lugeda, ent kõik sellesse tehtud muudatused eemaldatakse, kui fail avatakse Exceli uuemas versioonis. Lisateavet leiate siit: https://go.microsoft.com/fwlink/?linkid=870924.
Kommentaar:
    Taotluses 0.88
Vastus:
    muutsin elaniku arvu vastavalt väärtusele 0.53 ära</t>
      </text>
    </comment>
    <comment ref="A8" authorId="4" shapeId="0" xr:uid="{3FD9A8A4-2D7F-4013-9AB8-139184B7C519}">
      <text>
        <t>[Lõimkommentaar]
Teie Exceli versioon võimaldab teil seda lõimkommentaari lugeda, ent kõik sellesse tehtud muudatused eemaldatakse, kui fail avatakse Exceli uuemas versioonis. Lisateavet leiate siit: https://go.microsoft.com/fwlink/?linkid=870924.
Kommentaar:
    Kattub taotlusega nr 255</t>
      </text>
    </comment>
    <comment ref="Q9" authorId="5" shapeId="0" xr:uid="{3900CDB3-871E-4EAB-A108-2850A6C2FCB2}">
      <text>
        <t>[Lõimkommentaar]
Teie Exceli versioon võimaldab teil seda lõimkommentaari lugeda, ent kõik sellesse tehtud muudatused eemaldatakse, kui fail avatakse Exceli uuemas versioonis. Lisateavet leiate siit: https://go.microsoft.com/fwlink/?linkid=870924.
Kommentaar:
    projekt olemas</t>
      </text>
    </comment>
    <comment ref="V9" authorId="6" shapeId="0" xr:uid="{2A26D328-1FE1-433C-9C30-9D77F54A6952}">
      <text>
        <t>[Lõimkommentaar]
Teie Exceli versioon võimaldab teil seda lõimkommentaari lugeda, ent kõik sellesse tehtud muudatused eemaldatakse, kui fail avatakse Exceli uuemas versioonis. Lisateavet leiate siit: https://go.microsoft.com/fwlink/?linkid=870924.
Kommentaar:
    kirjas on, et vajab ülevaatamist ja uuendamist</t>
      </text>
    </comment>
    <comment ref="A10" authorId="7" shapeId="0" xr:uid="{9FE2872E-B2BD-435B-9BB1-0C10EA491B0E}">
      <text>
        <t>[Lõimkommentaar]
Teie Exceli versioon võimaldab teil seda lõimkommentaari lugeda, ent kõik sellesse tehtud muudatused eemaldatakse, kui fail avatakse Exceli uuemas versioonis. Lisateavet leiate siit: https://go.microsoft.com/fwlink/?linkid=870924.
Kommentaar:
    Kattub taotlusega nr 194</t>
      </text>
    </comment>
    <comment ref="A12" authorId="8" shapeId="0" xr:uid="{E203E8F3-63A8-4BD0-9EAB-36E38441047F}">
      <text>
        <t>[Lõimkommentaar]
Teie Exceli versioon võimaldab teil seda lõimkommentaari lugeda, ent kõik sellesse tehtud muudatused eemaldatakse, kui fail avatakse Exceli uuemas versioonis. Lisateavet leiate siit: https://go.microsoft.com/fwlink/?linkid=870924.
Kommentaar:
    kattub osaliselt taotlusega nr 261</t>
      </text>
    </comment>
    <comment ref="W13" authorId="9" shapeId="0" xr:uid="{BD91CBE3-457A-4820-85B2-94D5C77B417F}">
      <text>
        <t>[Lõimkommentaar]
Teie Exceli versioon võimaldab teil seda lõimkommentaari lugeda, ent kõik sellesse tehtud muudatused eemaldatakse, kui fail avatakse Exceli uuemas versioonis. Lisateavet leiate siit: https://go.microsoft.com/fwlink/?linkid=870924.
Kommentaar:
    Kaasrahastuse % ei tule välja, seepärast ei saa 3 panna</t>
      </text>
    </comment>
    <comment ref="Q16" authorId="10" shapeId="0" xr:uid="{57061AF7-F72E-4309-A0C0-A9DF92D640A2}">
      <text>
        <t>[Lõimkommentaar]
Teie Exceli versioon võimaldab teil seda lõimkommentaari lugeda, ent kõik sellesse tehtud muudatused eemaldatakse, kui fail avatakse Exceli uuemas versioonis. Lisateavet leiate siit: https://go.microsoft.com/fwlink/?linkid=870924.
Kommentaar:
    ei ole Põltsamaa projekteerimise koosseisus</t>
      </text>
    </comment>
    <comment ref="A20" authorId="11" shapeId="0" xr:uid="{5710805C-08F9-42E2-8010-73DC39D00E09}">
      <text>
        <t>[Lõimkommentaar]
Teie Exceli versioon võimaldab teil seda lõimkommentaari lugeda, ent kõik sellesse tehtud muudatused eemaldatakse, kui fail avatakse Exceli uuemas versioonis. Lisateavet leiate siit: https://go.microsoft.com/fwlink/?linkid=870924.
Kommentaar:
    Meede käsitleb objektide rahastust, mis ei paikne kavandatud ehitus- ja rekonstrueerimisobjektidel</t>
      </text>
    </comment>
    <comment ref="O20" authorId="12" shapeId="0" xr:uid="{C6FCCADD-F4B8-4CD0-8A13-870920534F4C}">
      <text>
        <t>[Lõimkommentaar]
Teie Exceli versioon võimaldab teil seda lõimkommentaari lugeda, ent kõik sellesse tehtud muudatused eemaldatakse, kui fail avatakse Exceli uuemas versioonis. Lisateavet leiate siit: https://go.microsoft.com/fwlink/?linkid=870924.
Kommentaar:
    ühes lahtris üks väärtus, teises teine kaasfinantseeringu kohta. Maksumus taotluses teisel kujul esitatud.</t>
      </text>
    </comment>
    <comment ref="V20" authorId="13" shapeId="0" xr:uid="{E7367A95-2D08-4EAE-8826-435A1EF20065}">
      <text>
        <t>[Lõimkommentaar]
Teie Exceli versioon võimaldab teil seda lõimkommentaari lugeda, ent kõik sellesse tehtud muudatused eemaldatakse, kui fail avatakse Exceli uuemas versioonis. Lisateavet leiate siit: https://go.microsoft.com/fwlink/?linkid=870924.
Kommentaar:
    eelkokkulepe tähendab, et maade küsimused siiski pole veel lahendatud?</t>
      </text>
    </comment>
    <comment ref="A21" authorId="14" shapeId="0" xr:uid="{4FF9AF39-BBE3-4C11-8BA0-6558A6EFEA9E}">
      <text>
        <t>[Lõimkommentaar]
Teie Exceli versioon võimaldab teil seda lõimkommentaari lugeda, ent kõik sellesse tehtud muudatused eemaldatakse, kui fail avatakse Exceli uuemas versioonis. Lisateavet leiate siit: https://go.microsoft.com/fwlink/?linkid=870924.
Kommentaar:
    Kattub taotlusega nr 260</t>
      </text>
    </comment>
    <comment ref="V24" authorId="15" shapeId="0" xr:uid="{A232B0A5-130F-4C01-9B95-CDD5AE5CE61C}">
      <text>
        <t>[Lõimkommentaar]
Teie Exceli versioon võimaldab teil seda lõimkommentaari lugeda, ent kõik sellesse tehtud muudatused eemaldatakse, kui fail avatakse Exceli uuemas versioonis. Lisateavet leiate siit: https://go.microsoft.com/fwlink/?linkid=870924.
Kommentaar:
    kirjas on et projekt üle vaadata, seega vb tasub 2 asemel 1 punkt panna?</t>
      </text>
    </comment>
    <comment ref="O26" authorId="16" shapeId="0" xr:uid="{715D5AC2-90C8-498C-85F5-E4DC5B39B28E}">
      <text>
        <t>[Lõimkommentaar]
Teie Exceli versioon võimaldab teil seda lõimkommentaari lugeda, ent kõik sellesse tehtud muudatused eemaldatakse, kui fail avatakse Exceli uuemas versioonis. Lisateavet leiate siit: https://go.microsoft.com/fwlink/?linkid=870924.
Kommentaar:
    kas võtta taotleja pakutavast summast 20%?
Vastus:
    võiks sellelt summalt, mis ta pakkus</t>
      </text>
    </comment>
    <comment ref="V26" authorId="17" shapeId="0" xr:uid="{5F951500-6CC0-49C8-9948-C9EDD9D867BF}">
      <text>
        <t>[Lõimkommentaar]
Teie Exceli versioon võimaldab teil seda lõimkommentaari lugeda, ent kõik sellesse tehtud muudatused eemaldatakse, kui fail avatakse Exceli uuemas versioonis. Lisateavet leiate siit: https://go.microsoft.com/fwlink/?linkid=870924.
Kommentaar:
    peab üle küsima, et kas projekteerimistingimused peavad ka valmis projektide puhul olema, et 2p saada.</t>
      </text>
    </comment>
    <comment ref="A27" authorId="18" shapeId="0" xr:uid="{56DFC779-D430-421B-85B0-CBB4B9B49D87}">
      <text>
        <t>[Lõimkommentaar]
Teie Exceli versioon võimaldab teil seda lõimkommentaari lugeda, ent kõik sellesse tehtud muudatused eemaldatakse, kui fail avatakse Exceli uuemas versioonis. Lisateavet leiate siit: https://go.microsoft.com/fwlink/?linkid=870924.
Kommentaar:
    Põltsamaa ümbersõidu projekteerimise koosseisus</t>
      </text>
    </comment>
    <comment ref="Q27" authorId="19" shapeId="0" xr:uid="{22602AFA-8BDA-46D4-A3FE-5F649AC39298}">
      <text>
        <t>[Lõimkommentaar]
Teie Exceli versioon võimaldab teil seda lõimkommentaari lugeda, ent kõik sellesse tehtud muudatused eemaldatakse, kui fail avatakse Exceli uuemas versioonis. Lisateavet leiate siit: https://go.microsoft.com/fwlink/?linkid=870924.
Kommentaar:
    ei ole Põltsamaa projekteerimise koosseisus</t>
      </text>
    </comment>
    <comment ref="A31" authorId="20" shapeId="0" xr:uid="{7C083CBE-A2CB-4E92-B480-E6EA8769459B}">
      <text>
        <t>[Lõimkommentaar]
Teie Exceli versioon võimaldab teil seda lõimkommentaari lugeda, ent kõik sellesse tehtud muudatused eemaldatakse, kui fail avatakse Exceli uuemas versioonis. Lisateavet leiate siit: https://go.microsoft.com/fwlink/?linkid=870924.
Kommentaar:
    Meede käsitleb objektide rahastust, mis ei paikne kavandatud ehitus- ja rekonstrueerimisobjektidel</t>
      </text>
    </comment>
    <comment ref="A37" authorId="21" shapeId="0" xr:uid="{DD1D1C66-9FC7-41C3-ACB0-1A3349EC6313}">
      <text>
        <t>[Lõimkommentaar]
Teie Exceli versioon võimaldab teil seda lõimkommentaari lugeda, ent kõik sellesse tehtud muudatused eemaldatakse, kui fail avatakse Exceli uuemas versioonis. Lisateavet leiate siit: https://go.microsoft.com/fwlink/?linkid=870924.
Kommentaar:
    kattub taotlusega nr 28</t>
      </text>
    </comment>
    <comment ref="A38" authorId="22" shapeId="0" xr:uid="{7458DC6A-726F-4CF5-9B55-081CEF9BDEDD}">
      <text>
        <t>[Lõimkommentaar]
Teie Exceli versioon võimaldab teil seda lõimkommentaari lugeda, ent kõik sellesse tehtud muudatused eemaldatakse, kui fail avatakse Exceli uuemas versioonis. Lisateavet leiate siit: https://go.microsoft.com/fwlink/?linkid=870924.
Kommentaar:
    Kattub taotlusega nr 38</t>
      </text>
    </comment>
    <comment ref="A39" authorId="23" shapeId="0" xr:uid="{92C48910-6773-44FE-9262-909D8A7E1918}">
      <text>
        <t>[Lõimkommentaar]
Teie Exceli versioon võimaldab teil seda lõimkommentaari lugeda, ent kõik sellesse tehtud muudatused eemaldatakse, kui fail avatakse Exceli uuemas versioonis. Lisateavet leiate siit: https://go.microsoft.com/fwlink/?linkid=870924.
Kommentaar:
    kattub osaliselt taotlusega nr 49</t>
      </text>
    </comment>
    <comment ref="A40" authorId="24" shapeId="0" xr:uid="{3FF54B92-23BA-43BF-96B8-36A350B47452}">
      <text>
        <t>[Lõimkommentaar]
Teie Exceli versioon võimaldab teil seda lõimkommentaari lugeda, ent kõik sellesse tehtud muudatused eemaldatakse, kui fail avatakse Exceli uuemas versioonis. Lisateavet leiate siit: https://go.microsoft.com/fwlink/?linkid=870924.
Kommentaar:
    Kattub taotlusega nr 130</t>
      </text>
    </comment>
    <comment ref="A41" authorId="25" shapeId="0" xr:uid="{8C7B8945-E635-4127-82C6-9C67211017F0}">
      <text>
        <t>[Lõimkommentaar]
Teie Exceli versioon võimaldab teil seda lõimkommentaari lugeda, ent kõik sellesse tehtud muudatused eemaldatakse, kui fail avatakse Exceli uuemas versioonis. Lisateavet leiate siit: https://go.microsoft.com/fwlink/?linkid=870924.
Kommentaar:
    Kattub taotlusega nr 151</t>
      </text>
    </comment>
    <comment ref="A42" authorId="26" shapeId="0" xr:uid="{048EAC86-E839-4106-A0C4-3D18DB7E7509}">
      <text>
        <t>[Lõimkommentaar]
Teie Exceli versioon võimaldab teil seda lõimkommentaari lugeda, ent kõik sellesse tehtud muudatused eemaldatakse, kui fail avatakse Exceli uuemas versioonis. Lisateavet leiate siit: https://go.microsoft.com/fwlink/?linkid=870924.
Kommentaar:
    kattub taotlusega nr 136</t>
      </text>
    </comment>
    <comment ref="L42" authorId="27" shapeId="0" xr:uid="{F498855E-682B-44B3-822B-3B6A7E1CCA15}">
      <text>
        <t>[Lõimkommentaar]
Teie Exceli versioon võimaldab teil seda lõimkommentaari lugeda, ent kõik sellesse tehtud muudatused eemaldatakse, kui fail avatakse Exceli uuemas versioonis. Lisateavet leiate siit: https://go.microsoft.com/fwlink/?linkid=870924.
Kommentaar:
    saatis Jaan Tarmak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tc={02154A96-EF77-4256-BFFD-0F6112DE6C30}</author>
    <author>tc={DB469838-FFF6-4818-9FF8-CF3F5A2EA591}</author>
    <author>tc={E69CFD61-D6FA-4CB5-B7E5-37CC261ED75D}</author>
    <author>tc={C134B58E-C818-4124-9D3D-189D0347B227}</author>
    <author>tc={36C41473-7BE5-4E7C-B539-6F4711A0DEA9}</author>
    <author>tc={5B5CF72E-D648-471D-B349-41F7540C7FE5}</author>
    <author>tc={E4E9733B-D6B8-4421-A026-A0136DAFE76C}</author>
  </authors>
  <commentList>
    <comment ref="A9" authorId="0" shapeId="0" xr:uid="{02154A96-EF77-4256-BFFD-0F6112DE6C30}">
      <text>
        <t>[Lõimkommentaar]
Teie Exceli versioon võimaldab teil seda lõimkommentaari lugeda, ent kõik sellesse tehtud muudatused eemaldatakse, kui fail avatakse Exceli uuemas versioonis. Lisateavet leiate siit: https://go.microsoft.com/fwlink/?linkid=870924.
Kommentaar:
    projekt on Nurme tee rekonstrueerimise projekti koosseisus</t>
      </text>
    </comment>
    <comment ref="A10" authorId="1" shapeId="0" xr:uid="{DB469838-FFF6-4818-9FF8-CF3F5A2EA591}">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 ref="A11" authorId="2" shapeId="0" xr:uid="{E69CFD61-D6FA-4CB5-B7E5-37CC261ED75D}">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 ref="A12" authorId="3" shapeId="0" xr:uid="{C134B58E-C818-4124-9D3D-189D0347B227}">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 ref="C18" authorId="4" shapeId="0" xr:uid="{36C41473-7BE5-4E7C-B539-6F4711A0DEA9}">
      <text>
        <t>[Lõimkommentaar]
Teie Exceli versioon võimaldab teil seda lõimkommentaari lugeda, ent kõik sellesse tehtud muudatused eemaldatakse, kui fail avatakse Exceli uuemas versioonis. Lisateavet leiate siit: https://go.microsoft.com/fwlink/?linkid=870924.
Kommentaar:
    Nõos on jalgrataste jaoks parkla olemas (ilma katuseta).</t>
      </text>
    </comment>
    <comment ref="I21" authorId="5" shapeId="0" xr:uid="{5B5CF72E-D648-471D-B349-41F7540C7FE5}">
      <text>
        <t>[Lõimkommentaar]
Teie Exceli versioon võimaldab teil seda lõimkommentaari lugeda, ent kõik sellesse tehtud muudatused eemaldatakse, kui fail avatakse Exceli uuemas versioonis. Lisateavet leiate siit: https://go.microsoft.com/fwlink/?linkid=870924.
Kommentaar:
    ei ole reaalne</t>
      </text>
    </comment>
    <comment ref="A22" authorId="6" shapeId="0" xr:uid="{E4E9733B-D6B8-4421-A026-A0136DAFE76C}">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tc={C26FFB63-7ACD-4BBE-B1F5-7BF3DED23311}</author>
    <author>tc={72D26762-7B8E-437C-BF83-C6F8FC6C71D3}</author>
    <author>tc={7EF28CB4-8364-449D-9CD3-DFBCA65D20D6}</author>
    <author>tc={67872CD3-97B2-42AA-8E35-2FC69E34C222}</author>
    <author>tc={F2B38742-65F7-46AC-9F60-F2E34B11B1BF}</author>
    <author>tc={9DDAC724-FE0A-4104-BC94-D725FE1B4DA9}</author>
    <author>tc={8CA6DE88-12FF-408E-A396-E263DA2D34DC}</author>
  </authors>
  <commentList>
    <comment ref="A9" authorId="0" shapeId="0" xr:uid="{C26FFB63-7ACD-4BBE-B1F5-7BF3DED23311}">
      <text>
        <t>[Lõimkommentaar]
Teie Exceli versioon võimaldab teil seda lõimkommentaari lugeda, ent kõik sellesse tehtud muudatused eemaldatakse, kui fail avatakse Exceli uuemas versioonis. Lisateavet leiate siit: https://go.microsoft.com/fwlink/?linkid=870924.
Kommentaar:
    projekt on Nurme tee rekonstrueerimise projekti koosseisus</t>
      </text>
    </comment>
    <comment ref="A10" authorId="1" shapeId="0" xr:uid="{72D26762-7B8E-437C-BF83-C6F8FC6C71D3}">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 ref="A11" authorId="2" shapeId="0" xr:uid="{7EF28CB4-8364-449D-9CD3-DFBCA65D20D6}">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 ref="A12" authorId="3" shapeId="0" xr:uid="{67872CD3-97B2-42AA-8E35-2FC69E34C222}">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 ref="C18" authorId="4" shapeId="0" xr:uid="{F2B38742-65F7-46AC-9F60-F2E34B11B1BF}">
      <text>
        <t>[Lõimkommentaar]
Teie Exceli versioon võimaldab teil seda lõimkommentaari lugeda, ent kõik sellesse tehtud muudatused eemaldatakse, kui fail avatakse Exceli uuemas versioonis. Lisateavet leiate siit: https://go.microsoft.com/fwlink/?linkid=870924.
Kommentaar:
    Nõos on jalgrataste jaoks parkla olemas (ilma katuseta).</t>
      </text>
    </comment>
    <comment ref="I21" authorId="5" shapeId="0" xr:uid="{9DDAC724-FE0A-4104-BC94-D725FE1B4DA9}">
      <text>
        <t>[Lõimkommentaar]
Teie Exceli versioon võimaldab teil seda lõimkommentaari lugeda, ent kõik sellesse tehtud muudatused eemaldatakse, kui fail avatakse Exceli uuemas versioonis. Lisateavet leiate siit: https://go.microsoft.com/fwlink/?linkid=870924.
Kommentaar:
    ei ole reaalne</t>
      </text>
    </comment>
    <comment ref="A22" authorId="6" shapeId="0" xr:uid="{8CA6DE88-12FF-408E-A396-E263DA2D34DC}">
      <text>
        <t>[Lõimkommentaar]
Teie Exceli versioon võimaldab teil seda lõimkommentaari lugeda, ent kõik sellesse tehtud muudatused eemaldatakse, kui fail avatakse Exceli uuemas versioonis. Lisateavet leiate siit: https://go.microsoft.com/fwlink/?linkid=870924.
Kommentaar:
    taotluse nr 9 alla jääb 5 erinevat peatust (liiklustihedus ja muud andmed erinevad), Sorteerimise tõttu eraldatud eraldi ridadeks.</t>
      </text>
    </comment>
  </commentList>
</comments>
</file>

<file path=xl/sharedStrings.xml><?xml version="1.0" encoding="utf-8"?>
<sst xmlns="http://schemas.openxmlformats.org/spreadsheetml/2006/main" count="1144" uniqueCount="466">
  <si>
    <t>Objekt</t>
  </si>
  <si>
    <t>Asukoht</t>
  </si>
  <si>
    <t>Parameetrid</t>
  </si>
  <si>
    <t>Hinnangud</t>
  </si>
  <si>
    <t>Punktid</t>
  </si>
  <si>
    <t>Jrk</t>
  </si>
  <si>
    <t>Maakond</t>
  </si>
  <si>
    <t>Tee ja teelõik</t>
  </si>
  <si>
    <t>Probleemi lühikirjeldus</t>
  </si>
  <si>
    <t>Rajatav taristu</t>
  </si>
  <si>
    <t>Riigitee nr</t>
  </si>
  <si>
    <t>Lõigu algus (tee km)</t>
  </si>
  <si>
    <t>Lõigu lõpp (tee km)</t>
  </si>
  <si>
    <t>Kergliikustee pikkus (maksumuse arvutamiseks</t>
  </si>
  <si>
    <t>Maksumus</t>
  </si>
  <si>
    <t>Maksumus (valemi jaoks)</t>
  </si>
  <si>
    <t>Ettepaneku tegija</t>
  </si>
  <si>
    <t>KOV valmisolek katta rajamis- või kasutuskulusid</t>
  </si>
  <si>
    <t>KOV kaas-rahastus</t>
  </si>
  <si>
    <t>KOV kaas-rahastus (valemi jaoks)</t>
  </si>
  <si>
    <t>Kajastatus KOV või maakonna planeeringutes ja arengukavades</t>
  </si>
  <si>
    <t>Ettevalmistatuse tase (projektid, maavajadus)</t>
  </si>
  <si>
    <t>Kaart</t>
  </si>
  <si>
    <t>Elanike arv 500 m raadiuses</t>
  </si>
  <si>
    <t>Teelõigu AKÖL</t>
  </si>
  <si>
    <t>O1-PL</t>
  </si>
  <si>
    <t>O2-EV</t>
  </si>
  <si>
    <t>O3-KOV</t>
  </si>
  <si>
    <t>E1-mõju</t>
  </si>
  <si>
    <t>E2-aeg</t>
  </si>
  <si>
    <t>E3 - võrk</t>
  </si>
  <si>
    <t>E4 -ÜT</t>
  </si>
  <si>
    <t>Ekspertgrupi märkused</t>
  </si>
  <si>
    <t>Maksumus - KOV kaasrahastus</t>
  </si>
  <si>
    <t>Jõgeva</t>
  </si>
  <si>
    <t>Põltsamaa linna ja Esku küla vaheline lõik</t>
  </si>
  <si>
    <t>Ohutuks liikumiseks Põltsamaa ja Esku vahel nii tööle kui kooli</t>
  </si>
  <si>
    <t>Kergliiklustee</t>
  </si>
  <si>
    <t>Põltsamaa Vallavalitsus</t>
  </si>
  <si>
    <t>nõus</t>
  </si>
  <si>
    <t>Põltsamaa valla arengukava 2040; Jõgevamaa arengustrateegia 2035+; Jõgeva maakonnaplaneering 2030+ (1 kategooria JJT)</t>
  </si>
  <si>
    <t>Projekt olemas, maade omastamise toiming pooleli</t>
  </si>
  <si>
    <t>Kattub taotlusega nr 193</t>
  </si>
  <si>
    <t>Tartumaa</t>
  </si>
  <si>
    <t>Ülenurme-Aardlapalu</t>
  </si>
  <si>
    <t>Kastre valla eelakäija kov, Haaslava vald on rajanud ligi 10 km kergteid Aardlapalust-Päksteni. Eesmärgiks on ühendada antud võrgustik maakondliku võrgustiku ja Tartu linnaga. Suureks kitsaskohaks on see, et rajatav kergtee asub kahe omavalitsuse territooriumil ning seoses Natura ala lähedusega on just antud 2,8 kilomeetrit arendajatele ebasobilik koht, et kovid saaksid rajada nimetatud lõiku kov eelarve ja erasektori koostöös. Maantee rekonstrueerimine on Transpordiameti tegevuskavas 2023, palume selle raames rajada ja rahastada ka kergtee ehitus.</t>
  </si>
  <si>
    <t>valgustatud kergliiklustee</t>
  </si>
  <si>
    <t>Kastre Vallavalitsus</t>
  </si>
  <si>
    <t>KOV rajab kergtee valgustuse, samuti tee hooldamise kohustuse peale tee valmimist.</t>
  </si>
  <si>
    <t>Rahastab</t>
  </si>
  <si>
    <t>Kajastatud Kastre valla arengukavas, Tartu maakonnaplaneering 2030+ ja Tartumaa arengustrateegias 2040</t>
  </si>
  <si>
    <t>Põhiprojekt olemas, maaomanikega läbirääkimised enamuses peetud, isiklikud kasutusõigused sõlmimisel</t>
  </si>
  <si>
    <t>Kattub osaliselt taotlusega nr 32</t>
  </si>
  <si>
    <t>Harjumaa</t>
  </si>
  <si>
    <t>Muuga tee KLT</t>
  </si>
  <si>
    <t>Viimsi vallas Muuga külas asub riigitee 11254 Muuga tee, mis on oluliselt ühendusteeks Viimsi valla ja Maardu linna vahel. Tee on suure liikluskoormusega, 2100 sõidukit ööpäevas sh läbib teelõiku Tallinna piiriülene bussiliin 38 ning valla bussiliinid V4, V6, V7 ja V9. Muuga teele on rajatud kergliiklustee lõigus Randvere teest (riigitee 11250) kuni Lasketiiru teeni. Puudu on lõik Lasketiiru teest kuni Maardu linna piirini, millega saaks kergliiklusteede võrgustik ühendatud kahe omavalitsuse vahel. Kergliiklusteeta lõigus on sõidutee ohtlik, kuna mõlemal pool teed on suured magistraarlraavid, tee on kitsas, mistõttu on kergliiklejatel sõidutee servas liikumine ääretult ohtlik.</t>
  </si>
  <si>
    <t>Muuga tee kergliiklustee Lasketiiru teest kuni Maardu linna poolt rajatud kergliiklusteeni, pikkus 1000 m.</t>
  </si>
  <si>
    <t>Viimsi Vallavalitsus</t>
  </si>
  <si>
    <t>JAH</t>
  </si>
  <si>
    <t xml:space="preserve">Viimsi valla arengukava ja eelarvestrateegia aastateks 2021-2025 peatükk 4.4 Kommunaal ja taristu teedevõrgu osas on välja toodud teedevõrgu olulisus transpordisüsteemi osana, mis peab tagama inimestele head liikumisvõimalused erinevate piirkondade vahel. Seetõttu on teedevõrgu arendamine elanike teenindamise, valla igapäevaelu ja üldise arengu seisukohast väga olulise tähtsusega. Arengukava toob olulise punktina välja vajaduse jalakäijate liiklemismugavuse parandamiseks jätkata kergliiklusteede võrgustiku rajamist vallaüleselt, sidudes selle naaberomavalitsuste kergliiklusteedega. Arengukava planeeritud tegevusena on välja toodud Muuga tee jalgratta- ja jalgtee ühendamine Maardu linna kergteede võrguga (2021-2022). Ka Viimsi valla teedevõrgu arengukava punktis 9.6. Jalg- ja jalgrattateede ehitus on ette nähtud:
Jalg- ja jalgrattateede ehitusega plaanitakse järgneva kümne aasta jooksul võrgustada jalgrattateede põhilised liikumissuunad. </t>
  </si>
  <si>
    <t>Põhiprojekt olemas, sidumine Maarduga vaja eraldi tööprojektiga lahendada (lõik 200 m)</t>
  </si>
  <si>
    <t>Kattub taotlusega nr 178</t>
  </si>
  <si>
    <t>Harju</t>
  </si>
  <si>
    <t>11128 Kehra jaama tee</t>
  </si>
  <si>
    <t>Tiheda liiklusega Kehra linna sissesõidutee ääres puudub  kergliiklustee</t>
  </si>
  <si>
    <t>Kehra linna sissesõidutee äärde kergliiklustee rajamine</t>
  </si>
  <si>
    <t>Anija Vallavalitsus</t>
  </si>
  <si>
    <t>Anija valla arengukavas aastaks 2022</t>
  </si>
  <si>
    <t>Projekt  "Riigitee nr 11128 Kehra jaama tee 0.0-0.88 ehitusprojekt" olemas ja maa on munitsipaalomandis</t>
  </si>
  <si>
    <t>Rapla</t>
  </si>
  <si>
    <t>Vaida-Urge tee, Urge-Prillimäe-Salutaguse lõik</t>
  </si>
  <si>
    <t xml:space="preserve">Kergliiklustee puudumise tõttu on elanikel ohtlik liigelda Kohilas, Salutagusel, Prillimäel ja Urgel asuvate töökohtade ja teenuste ning Kohila olemasoleva ja tulevase Rail Baltic raudteejaamade juurde. Urgelt Kohilasse on kergliiklusteed olemas. Urge-Vaida maanteelõigu rekonstrueerimisega muutus antud tee kergliiklejatele veel kitsamaks ja ohtlikumaks. Lisaks üks ohtlik koht on Prillimäe bussipeatus, mis rajati tee rekonstrueerimisega uude kohta, eeldusega, et kiiresti valmib ka kergliiklustee, mis viib ka antud peatusesse. Paraku kergteed veel ei ole rajatud, kuid selle jaoks on kiire vajadus. </t>
  </si>
  <si>
    <t>kergliiklustee</t>
  </si>
  <si>
    <t>Kohila Valla-valitsus</t>
  </si>
  <si>
    <t>rajamis- ja kasutuskulud</t>
  </si>
  <si>
    <t>kajastatud valla üldplaneeringus, arengukavas ja teehoiukavas, Raplamaa arengustrateegias, Rail Baltic Urge liiklussõlme planeerimisdokumentides</t>
  </si>
  <si>
    <t>olemas eelprojekt aastast 2015, mille alusel on võetud maakasutuse kooskõlastused kinnistuomanikega. 2021. aastal koostamisel põhiprojekt ja lahendamisel  maaomandi küsimused.</t>
  </si>
  <si>
    <t>Võiks lääne suuna jupi viia kokku olemasoleva jupiga</t>
  </si>
  <si>
    <t xml:space="preserve">Tartu </t>
  </si>
  <si>
    <t>Ülenurme - Külitse tee lõik 1</t>
  </si>
  <si>
    <t>Kergliiklustee lõik riigimaantee ääres</t>
  </si>
  <si>
    <t xml:space="preserve">Kergliiklustee </t>
  </si>
  <si>
    <t>Kambja Vallavalitsus</t>
  </si>
  <si>
    <t>jah</t>
  </si>
  <si>
    <t>Kambja valla arengukava 2020 - 2030     https://www.riigiteataja.ee/akt/405112019004</t>
  </si>
  <si>
    <t>Projekt  koostatud Maanteeameti tellimusel</t>
  </si>
  <si>
    <t>Kattub taotlusega nr 255</t>
  </si>
  <si>
    <t>Järva</t>
  </si>
  <si>
    <t>Järva-Jaani - Pikevere - Ebavere</t>
  </si>
  <si>
    <t xml:space="preserve">jalg-ja jalgratta tee  ühendamine bussipeatusega , puudub parempoolen jalgtee, korraldama jalakäijate liiklus, ristumine Laia tn-ga liiklusohtlik koht varasem kinnitus Transpordiamet. Parkimise korraldamine riigimaantee ääres ja keskväljaku lahendmine. Sadevee ärajuhtimine või suunamine. </t>
  </si>
  <si>
    <t>jalgtee, liikluskorraldus, liiklussaared, valgustu</t>
  </si>
  <si>
    <t>Transpordiamet, KOV</t>
  </si>
  <si>
    <t>kasutuskulude katmine, osaline kaasrahastus</t>
  </si>
  <si>
    <t xml:space="preserve"> Järva Maakonnaplaneeringu teemaplaneering  Järvamaa jalgrattateede võrgustik, Järva valla üledplaneering,  Järva valla arengukava , Järva valla teehoiukava 2020-2025</t>
  </si>
  <si>
    <t>Projekteeritud Traspordiameti ja Järva-Jaani valla koostöös, maade omastamise vajadus puudub, projekt vajab  ülevaatamist ja uuendamist.</t>
  </si>
  <si>
    <t xml:space="preserve">On LOK meetmes. </t>
  </si>
  <si>
    <t>Tartu</t>
  </si>
  <si>
    <t>Kärkna - Piibe maantee kergliiklustee</t>
  </si>
  <si>
    <t>Kergliiklustee puudub. Selle rajamine ühendab Kärkna küla Piibe maanteega. Piibe maantee ääres on kergtee rajatud. Kärkna küla on Tartu valla olulisemaid ettevõtlusalasid (sh asub seal kütuseettevõte Tartu Terminal). Kergtee rajamine lahendab ühenduse Tartu linnaga ja oluliste Tartu valla nn keskustega - Lähte, Tabivere. Tööstuslikult on Kärknas tähtis ettevõtluskeskkond, olemas raudteeühendus Tallinn-Tartu-Valga raudteetrassiga. Kergtee rajamine võimaldab muuhulgas Lähte, Erala ja Võibla elanikel rongile pääseda.</t>
  </si>
  <si>
    <t>0,9 km kergliiklusteed</t>
  </si>
  <si>
    <t>Tartu vald</t>
  </si>
  <si>
    <t>valmisolek olemas</t>
  </si>
  <si>
    <t>Kergliiklusteede rajamine, küll mitte objektiti, kajastuvad Tartu valla arengukavas https://tartuvald.ee/arengukava ning valla hetkel koostatavas üldplaneeringus https://hendrikson.ee/maps/Tartu-vald/dokumendid/kaardid/2020-09-16_Tartu_valla_eeln%C3%B5u.pdf</t>
  </si>
  <si>
    <t>Tehniline projekt olemas.</t>
  </si>
  <si>
    <t>Kattub taotlusega nr 194</t>
  </si>
  <si>
    <t>Suurupi tee kergliiklustee väljaehitamine</t>
  </si>
  <si>
    <t>KLT võrgustiku täiendamine. Oluline tervikliku kergliiklustee väljaehitamine kogu Suurupi külas, et tagada inimeste ohutu liiklemine ühistranspordi peatusteni, tagada ohutu juurdepääs Harku valla tervele kergliiklusteede võrgustikule.</t>
  </si>
  <si>
    <t>Harku Vallavalitsus</t>
  </si>
  <si>
    <t>panustame omaosalusega ja hoolduskuludega</t>
  </si>
  <si>
    <t xml:space="preserve">Harku valla arengukava 2037+ Tegevuskava punkt E4.29 </t>
  </si>
  <si>
    <t>Projekt olemas</t>
  </si>
  <si>
    <t>Laulasmaa-Lohusalu tee</t>
  </si>
  <si>
    <t>Arvestades tee suure liikluskoormusega (2019.aaasta loenduse andmetel 700 autot ööpäevas) on jalakäijatel ning jalgratturitel   sellel teel väga ohtlik liigelda. Suveperioodil  kasvab liiklussagedus  kordades ning samas suureneb ka tee jalgsi ja rattaga kasutajate arv.</t>
  </si>
  <si>
    <t>Lääne-Harju Vallavalitsus ja kogukond</t>
  </si>
  <si>
    <t>Jah</t>
  </si>
  <si>
    <t>Projekt ja kooskõlastused olemas</t>
  </si>
  <si>
    <t>Kattub osaliselt taotlusega nr 261</t>
  </si>
  <si>
    <t xml:space="preserve">Tartu-Ilmatsalu-Rõhu maantee; Rahinge küla kuni Ändi tee; </t>
  </si>
  <si>
    <t xml:space="preserve">Jalg- ja jalgrattaliikluse eraldamine riigimaantee 22103  liiklusest; Ohutu juurdepääsu tagamine maanteest vasakul olevate tõmbekeskuste juurde (Rahinge küla tihedama hoonestusega ala ning Rahinge järv ja -ekstreempark). </t>
  </si>
  <si>
    <t>Eraldiasetsev valgustatud JJT pikkusega 2,5 km on projekteeritud 22103 maanteest paremale; Eraldiasetsev valgustatud JJT pikkusega 0,2 km on projekteeritud 22103 maanteest vasakule; Kohaliku Kõpla ja Joosepi tee ning riigimaantee nr 22105 (Pihva tee) äärde on projekteeritud eraldiasetsev valgustatud JJT pikkusega 0,94 km. JJT alguses ja lõpus, ristumisel riigimaanteega 22103 on projekteeritud teeületuskohad. Teeületuskohast tulenevalt 22103 katteremont 250 m</t>
  </si>
  <si>
    <t>Tartu linn</t>
  </si>
  <si>
    <t>rajamiskulud jah; kasutuskulud  jah</t>
  </si>
  <si>
    <t>Maakonnaplaneering; linna üldplaneering, detailplaneeringud, projektid</t>
  </si>
  <si>
    <t>2019 aastast põhiprojekt Novarc Group AS töö 1475; Etapid I ja II; lõigu Tartu - Rahinge ehitus aastal 2021. Maavajadused on lahendatud enamuses</t>
  </si>
  <si>
    <t>Järvamaa</t>
  </si>
  <si>
    <t>Paide- Viraksaare</t>
  </si>
  <si>
    <t>Viraksaare küla on endisest suvilate rajoonist välja kasvanud ca 100 püsiealnikuga küla (suve perioodil pidevalt külas viibivaid inimesi rohkem). Elanike arvu pidev kasv on tajutav. Samuti on sinna planeeritud uuselamu arendus. Linnakeskusesse viiv sõidutee on kitsas ja ühistransport pigem harv. Teel liigub palju jalakäijaid ja rattureid. Eramupiirkond on Paide-Viraksaare vahelisel lõigul ka Türi valla territooriumil.</t>
  </si>
  <si>
    <t>Paide linn</t>
  </si>
  <si>
    <t>Paide linna eelarves (2021) on planeeritud Paide-Viraksaare kergliiklustee ehituseks 405 000 eurot</t>
  </si>
  <si>
    <t xml:space="preserve">Paide linna arengukava aastani 2035 (https://www.riigiteataja.ee/akt/404122020044). Lisa 2 punkt 43- Rajada kergliiklusteid Vajadus: Kergliiklusteid peaks olema rohkem, et muuta liiklemine jalakäijatele ohutumaks. Paide linna arengukava tegevuskavas ei nimetata taristu rajamise vajadusi objektipõhiselt. Täpsustavalt on tegevused järgmised: 43.1 Ehitatakse juurde kergliiklusteid hajaasustuspiirkondadesse, olemasolevad ühendatakse omavahel.
43.2 Tiheasustusalal korrastatakse kõnniteid ja vajadusel rajatakse neid juurde, et ühendatud teedevõrk tagaks ohutuma liiklemise.
</t>
  </si>
  <si>
    <t>Olemas põhiprojekt</t>
  </si>
  <si>
    <t>Rapla-Aranküla</t>
  </si>
  <si>
    <t>Liiklusohtliku olukorra likvideerimine, Uusküla ühendamine Rapla linnaga</t>
  </si>
  <si>
    <t>valgustusega jalgratta- ja jalgtee</t>
  </si>
  <si>
    <t xml:space="preserve">Rapla Vallavalitsus </t>
  </si>
  <si>
    <t>jah/jah</t>
  </si>
  <si>
    <t xml:space="preserve">Objekt kajastatud: Rapla valla teehoiukavas 2021-2024,  Rapla maakonna arengustrateegia tegevuskavas 2020-2023, "Raplamaa maakonnaplaneering 2030+" Lisa 6 Rapla maakonnaplaneeringu teemaplaneering „Raplamaa kergliiklusteed ja jalgrattamarsruudid" </t>
  </si>
  <si>
    <t>Põhiprojekt Transpordiametis kooskõlastamisel, maade omandamine menetluses</t>
  </si>
  <si>
    <t>Mõhküla ja Põltsamaa linna vaheline lõik</t>
  </si>
  <si>
    <t>Ohutuks liikumiseks Põltsamaa ja Adavere vahel nii tööle kui kooli</t>
  </si>
  <si>
    <t>Põltsamaa ümbersõidu projekteerimise koosseisus</t>
  </si>
  <si>
    <t xml:space="preserve"> I etapp Laitse loss kuni Ruila - Laitse tee bussipeatus</t>
  </si>
  <si>
    <t>Puudub kergtee, ohtlik liiklemiseks, puudub ühendus bussipeatusega. Poolel külal tekib ohutu ligipääs lasteaeda ja poodi.</t>
  </si>
  <si>
    <r>
      <t xml:space="preserve">Asfaltkattega jalgrattatee ja </t>
    </r>
    <r>
      <rPr>
        <sz val="11"/>
        <rFont val="Calibri"/>
        <family val="2"/>
        <charset val="186"/>
        <scheme val="minor"/>
      </rPr>
      <t>valgustus</t>
    </r>
  </si>
  <si>
    <t>Saue Vallavalitsus</t>
  </si>
  <si>
    <t>KOV arengukavas, teehoiukavas</t>
  </si>
  <si>
    <t>Projekt valmis, maad omandatud ja PT avalikustamisel</t>
  </si>
  <si>
    <t>Lohu-Kohila tee, Lohu-Mälivere lõik</t>
  </si>
  <si>
    <t>Kergliiklustee puudumise tõttu on elanikel ohtlik liigelda Kohilas asuvate töökohtade ja teenuste juurde ning Lohu raudteepeatusesse.</t>
  </si>
  <si>
    <t>kajastatud valla üldplaneeringus, arengukavas ja teehoiukavas, Raplamaa maakonnaplaneeringus ja arengustrateegias</t>
  </si>
  <si>
    <t>Ehitusprojekt koostatud 2008 a.</t>
  </si>
  <si>
    <t>Kas viia kuni raudteejaamani? - asfaltkate?</t>
  </si>
  <si>
    <t>Lääne-Virumaa</t>
  </si>
  <si>
    <t>Põdruse - Kunda - Pada</t>
  </si>
  <si>
    <t>Tallinn-Narva mnt ääres asuvast Padaoru peatusest Viru-Nigula kalmistule, Viru-Nigula alevikku tuleb jalgsi liikujal liigelda suure koormusega Põdruse-Kunda-Pada mnt äärt pidi.</t>
  </si>
  <si>
    <t>Viru-Nigula vallavalitsus</t>
  </si>
  <si>
    <t>jah, tänavavalgustus + teehooldus</t>
  </si>
  <si>
    <t>Viru-Nigula valla üldplaneeing (koostamisel), Lääne-Viru maakonnaplaneeringu teemaplaneering (Lääne-Viru maakonna jalg- ja jalgrattateed"</t>
  </si>
  <si>
    <t>Põhiprojekt valmis, tellitud vallavalitsuse poolt</t>
  </si>
  <si>
    <t>Väike-Maarja -Simuna riigimaantee lõik Müüriku külast Triigi külani (km 2,4 - 4,9)</t>
  </si>
  <si>
    <t>2020. aastal ehitas Väike-Maarja vald Vabariigi Valitsuse poolt kohalikele omavalitsustele eraldatud COVID-19 investeeringutoetusega välja riigitee nr 17191 Väike-Maarja-Simuna tee sõidutee vasakule poole serva projekteeritud Triigi jalg- ja jalgrattatee 1. etapi Väike-Maarja alevikust Müüriku külani. Kergliiklustee lõik Müüriku ja Triigi küla vahel (2. etapp) on välja ehitamata ja seal puuduvad kergliiklejatele ohutud liikumisvõimalused tõmbekeskusesse (vallakeskus Väike-Maarja alevik), kus paiknevad haridus- ja kultuuriasutused  ning oluline ühistranspordipeatus. Väike-Maarja-Triigi jalg- ja jalgrattatee 2. etapi ehitamine aitab kaasa säästlike liikumisviiside igapäevase kasutamise soodustamisele ja täiendab olemasolevat kergliiklusteede võrgustikku.</t>
  </si>
  <si>
    <t>Riigitee nr 17191 Väike-Maarja-Simuna tee sõidutee vasakule poole (vastavalt üldplaneeringus sätestatule) jääval lõigul km 2,4 – 4,9 teostatakse järgmised tööd: • 2,5 m laiuse asfaltkattega jalg- ja jalgrattatee rajamine; • jalg- ja jalgrattatee rajamise käigus raadatakse metsa, mis aitab kaasa maantee nähtavusele;
• rajatakse tänavavalgustus;
• rekonstrueeritakse olemasolevad mahasõidud (kruuskate -&gt; asfaltkate).</t>
  </si>
  <si>
    <t>Väike-Maarja Vallavalitsus</t>
  </si>
  <si>
    <t>KOV on valmis katma 25% rajamiskuludest ja on nõus Transpordiameti pakutava korrashoiu jaotusega.</t>
  </si>
  <si>
    <t>KOV kaasfinantseerib tänavavalgustuse rajamisega seotud kulud 28 000 euro ulatuses.</t>
  </si>
  <si>
    <t>Triigi jalg- ja jalgrattatee ehitamine on kirjas Lääne-Viru maakonnaplaneeringu 2030+ joonis 3 "Kergliiklusteed ja puhkealad", planeeringu lisa 2 Lääne-Viru maakonnaplaneeringu 2030+ tegevuskava ja lisa 6 Lääne- Viru maakonnaplaneeringu teemaplaneering "Lääne- Viru maakonna jalg- ja jalgrattateed" (https://maakonnaplaneering.ee/laane-viru-maakonnaplaneering-2030-) 1. prioriteedi jalg- ja jalgrattateena, Lääne-Viru maakonnastrateegia 2030+ tegevuskavas aastateks 2021-2024 Eesmärk 6 Ühendus- ja liikumisvõimalused on paremad Tegevussuund 6.2 Jalg- ja jalgrattateede arendamine (seos maakonnaplaneeringu teemaplaneeringuga) prioriteetse tegevusena 6.2.6 (lk 48 https://www.virol.ee/documents/20173326/21265843/tegevuskava_2021_2024.pdf/e3b412af-5c05-491e-8470-c2fad2facfa2) ning Väike-Maarja valla arengukava 2021-2027 tegevuskavas.</t>
  </si>
  <si>
    <t>Olemas on põhiprojekt ja kohene valmisolek hanke väljakuulutamiseks. Kergliiklustee aluste maade omanikega on sõlmitud eelkokkulepped. Osa kergliiklustee aluseid kinnituid kuulub Väike-Maarja vallale ja Eesti Vabariigile (Keskkonnaministeerium). Isikliku kasutusõigusega alade Väike-Maarja valla kasuks seadmine või kergliiklustee alla jäävate kinnistute jagamine ja omandamine toimub peale kergliiklustee valmimist. Transpordiametil on võimalik Triigi jalg- ja jalgrattatee ehitamine ühendada samas regioonis 2022. aastal kavandatava Kiltsi alevikku läbiva riigimaantee rekonstrueerimise ja kergliiklustee rajamisega.</t>
  </si>
  <si>
    <t xml:space="preserve">võrrelda teksti lõigu asukohaga. </t>
  </si>
  <si>
    <t>Ruu-Ihasalu mnt</t>
  </si>
  <si>
    <t xml:space="preserve">Ruu külas ehitatakse Liiklusohtlike olukordade lahendamise progammi toel 2021/22 aasta suvel välja Ruu-Ihasalu (tee nr 11262) ja Jõelähtme Kemba ristmik koos ülekäiguradade ja kergliiklusteega. Nimetatud ristmikul asuvast kolmest bussipeatusest puudub aga turvaline kergtee jõudmaks Ruu-Ihasalu mnt ääres asuvate elamuteni Metsaveere, Sireli ja Toominga teel. Taodeldavast kergtee lõigust Neeme poole edasi on juba tänaseks kesliiklustee valmis ehitatud ja on võimalus bussi pealt kaugemalegi (nt. Jägala külla) liigelda. Eriti vajalik on teelõik koolilastele, sest kooli buss peatub nimetatud ristmikul ja lapsevanemad on korduvalt ohtlikust olukorrast teel bussipeatuseni vallavalitsusele teada andnud. </t>
  </si>
  <si>
    <t>Valgustusega kergliiklustee  ehitamine (koos jalakäijate sillaga üle kanali). Tee nr 11262 Ruu-Ihasalu  0-0,6 km.Tööde sisu on 2,0 m laiustee valgustatud kergliikusteede rajamine Jägala ühistu teeni (Metsaveere tee) ja sealt edasi kuni Suka sillani (sisaldab silla ehitamist üle kanali). Kergtee ehitamine  on viimaseks  lõiguks planeeritud Ruu-Neeme kergteel.  Kaart on lisatud taotlusele.</t>
  </si>
  <si>
    <t>Jõelähtme vallavalitsus</t>
  </si>
  <si>
    <t>Jah, mõlemaid</t>
  </si>
  <si>
    <t>Jõelähtme valla arengukava 2020-2026, Tallinna Linnapiirkonna jätkusuutliku arengu strateegia</t>
  </si>
  <si>
    <t>Maanteamet projekteerib taodeldavat kerliiklusteed (valmib eeldatavalt 2021.a  II pooles)</t>
  </si>
  <si>
    <t xml:space="preserve">LOK-na läheb käiku, praegu projekteeritakse. </t>
  </si>
  <si>
    <t>Riigitee 22251 kõrvale projekteeritud kergliiklustee (km 3,57-5,0)</t>
  </si>
  <si>
    <t>Peatuste ühendamine asustusega</t>
  </si>
  <si>
    <t>hinnanguliselt ca 200000</t>
  </si>
  <si>
    <t>Luunja vald</t>
  </si>
  <si>
    <t>Valmisolek katta rajamiskulusid osaliselt, kasutuskulud täies mahus</t>
  </si>
  <si>
    <t>Kajastatud Luunja valla üldplaneeringus</t>
  </si>
  <si>
    <t>Põhiprojekt on valminud, IKÕ lepingud hetkeseisuga sõlmimata</t>
  </si>
  <si>
    <t>Rapla - Järvakandi - Kergu (Rapla-Raela)</t>
  </si>
  <si>
    <t xml:space="preserve">Liiklusohtliku olukorra likvideerimine, Raikküla, Raela, Väljataguse ja Tuti küla   Rapla linna kergliiklusteega ühendamine </t>
  </si>
  <si>
    <t>Põhiprojekt valmis, maade omandamine menetluses</t>
  </si>
  <si>
    <t>Pärnumaa</t>
  </si>
  <si>
    <t>T -19202 Pärnu - Jaagupi - Kergu                                           km 0,0-1,7</t>
  </si>
  <si>
    <t xml:space="preserve">Uduvere asula  teelõik vajab rekonstrueerimist koos KLT ehituse ja valgustuse  uuendamisega </t>
  </si>
  <si>
    <t>Teelõigu rekonstruktsioon koos KLT ehituse ja valgustuse kaasajastamisega. Väga ohtlik kergliiklejaile.</t>
  </si>
  <si>
    <t>Transpordiameti projekt</t>
  </si>
  <si>
    <t xml:space="preserve">   Transpordiamet/ vallavalitsus</t>
  </si>
  <si>
    <t>Oleme valmis sõlmima Transpordiametiga koostöökokkuleppe valgustuse kulude kandmise osas.</t>
  </si>
  <si>
    <t>Valgustuse elektrienergia kuludest kuni 50 %</t>
  </si>
  <si>
    <t>Vastavalt riigiteede Teehoiukavale</t>
  </si>
  <si>
    <t xml:space="preserve">Ol olev projekt üle vaadata ja täpsustada seoses T -4 Libatse-Nurme 2+2 teelõigu ehitamisega. </t>
  </si>
  <si>
    <t>Algusest 0,4 teelõik suletakse. Rek 2024 aastal plaanis</t>
  </si>
  <si>
    <t>Väljataguse tee</t>
  </si>
  <si>
    <t>Liiklusohtliku olukorra likvideerimine, Rapla linna lähiala Väljataguse küla ühendamine Rapla linna kergliiklusteede võrguga</t>
  </si>
  <si>
    <t xml:space="preserve">Objekt kajastatud: "Raplamaa maakonnaplaneering 2030+" Lisa 6 Rapla maakonnaplaneeringu teemaplaneering „Raplamaa kergliiklusteed ja jalgrattamarsruudid" </t>
  </si>
  <si>
    <t>Lõigule km 2,960 - 3,528 Põhiprojekt valmis.</t>
  </si>
  <si>
    <t>Võiks viia kuni Võsa tänavani</t>
  </si>
  <si>
    <t>Lääne</t>
  </si>
  <si>
    <t xml:space="preserve"> Herjava tee</t>
  </si>
  <si>
    <t>Sõidutee kitsas. Elanike kasvuga arenev piirkond, noored pered. Uus tee ühendaks olemasoleva jalg- ja jalgrattatee ühtseks tervikuks</t>
  </si>
  <si>
    <t>Jalg- ja jalgrattatee (2,646 km)</t>
  </si>
  <si>
    <t>Haapsalu Linnavalitsus</t>
  </si>
  <si>
    <t>Jah, kuni 20% omaosalus</t>
  </si>
  <si>
    <t>Sisaldub Haapsalu ja Ridala üldplaneeringutes ja Haapsalu linna arengikavas 2020-2023</t>
  </si>
  <si>
    <t>2012 Maanteeameti poolt koostatud tööprojekt (Reaalprojekt OÜ). Maaküsimused lahendab KOV (vajadusel sundvõõrandamine)</t>
  </si>
  <si>
    <t>Lillevere töökoja ja Lustivere küla vaheline lõik</t>
  </si>
  <si>
    <t>Ohutuks liikumiseks Põltsamaa ja Lustivere vahel nii tööle kui kooli</t>
  </si>
  <si>
    <t>Lustivere ja Pauastvere küla ning Põltsamaa linna elanikud</t>
  </si>
  <si>
    <t>Melliste-Poka</t>
  </si>
  <si>
    <t>KOV on püüdnud saada toetusraha Piirkondade konkurentsivõime tõstmise meetmest.  Enam kui 100 inimesega küla asub Räpina maanteest 1,6 km kaugusel ning ühistraspordi kasutamiseks liiguvad teepervel Räpina maanteele Melliste peatusesse. Lisaks elanikele tegutseb Pokal ka Kastre valla sotsilaateenuste keskus, kus pakutakse päevahoidu ja tugiisiku teenust psüühilise erivajadusega inimestele, kes igapäevaselt elavad siiski kodus ja tulevad teenustele igal hommikul. Mitmed neist käivad ka samast piirkonnast.</t>
  </si>
  <si>
    <t>Kajastatud Kastre valla arengukavas</t>
  </si>
  <si>
    <t>Põhiprojekti olemas, maaomanikega läbirääkimised enamuses peetud</t>
  </si>
  <si>
    <t>Kanguristi küla elanikud liiguvad mööda riigimaantee serva tööle Flexa Eesti AS'i ja Viru-Nigula Saeveski OÜ tootmistesse.</t>
  </si>
  <si>
    <t>Lehetu tiheasumi ühendamine bussipeatusega</t>
  </si>
  <si>
    <t>Puudub kergtee, ohtlik liiklemiseks. Puudub ühendus bussipeatusega. Kergtee annab ohutu võimaluse liikleda küla siseselt, sh kasutada külakeskuse huvitegevust ja vabaja veetmise võimalusi</t>
  </si>
  <si>
    <t>Asfaltkattega jalgrattatee</t>
  </si>
  <si>
    <t>KOV arengukava, teehoiukava</t>
  </si>
  <si>
    <t>Projekt valmis, maad omandatud ja PT väljastatud</t>
  </si>
  <si>
    <t>Mäeküla - Koeru - Kapu</t>
  </si>
  <si>
    <t xml:space="preserve"> jalg- jalgratta tee rajamine  Kapu külani, kalmistu tee ääres,  liiklusohtlik,  toiminud üks avarii,  tee ühendab keskuse ja  bussijaamaga küla. </t>
  </si>
  <si>
    <t>jalg-ja jalgrattatee rajamine</t>
  </si>
  <si>
    <t xml:space="preserve"> Järva Maakonnaplaneeringu teemaplaneering  Järvamaa jalgrattateede võrgustik, Järva valla üledplaneering,  Järva valla arengukava </t>
  </si>
  <si>
    <t>maad on omandatud, projekteeritud  koostöös Traspordiametiga,  ehitamine koos  mnt  nr.  25  rekonstrueerimisega</t>
  </si>
  <si>
    <t>Haage-Rahinge maantee km 3,1 - 3,7</t>
  </si>
  <si>
    <t xml:space="preserve">Jalg- ja jalgrattaliikluse eraldamine riigimaantee  22105 liiklusest; Ohutu juurdepääsu tagamine  tõmbekeskuste juurde (Rahinge järv ja -ekstreempark). </t>
  </si>
  <si>
    <t>Eraldiasetsev valgustatud JJT pikkusega 0,6 km on projekteeritud 22105 maanteest paremale; Kohaliku Kõpla ja Joosepi tee ning riigimaantee nr 22103  äärde on projekteeritud teeületuskohad.</t>
  </si>
  <si>
    <t>rajamiskulud jah; kasutuskulud ei</t>
  </si>
  <si>
    <t xml:space="preserve"> linna üldplaneering, projektid</t>
  </si>
  <si>
    <t>2019 aastast põhiprojekt Novarc Group AS töö 1475; Etapid I ja II; lõigu Tartu - Rahinge ehitus aastal 2021. Maavajadused on lahendatud; sõltub ettepanek Tartu-Ilmatsalu-Rõhu maantee; Rahinge küla kuni Ändi tee väljaehitamisest</t>
  </si>
  <si>
    <t>Kattuvad taotlused</t>
  </si>
  <si>
    <t>Ülenurme - Külitse</t>
  </si>
  <si>
    <t>Ülenurme - Külitse kergliiklustee rajamine</t>
  </si>
  <si>
    <t xml:space="preserve">Varasemalt kogutud ettepanekud, saadud Janno Vilbergilt. </t>
  </si>
  <si>
    <t>teadmata</t>
  </si>
  <si>
    <t>Tõrvandi-Roiu-Uniküla</t>
  </si>
  <si>
    <t xml:space="preserve">jah </t>
  </si>
  <si>
    <t>Laulasmaa-Lohusalu</t>
  </si>
  <si>
    <t>Kergliiklustee rajamine Laulasmaa külasse</t>
  </si>
  <si>
    <t>Kärkna-Kärevere</t>
  </si>
  <si>
    <t xml:space="preserve">Kergliiklustee Kärknast kuni Tartu-Jõgeva maanteeni </t>
  </si>
  <si>
    <t>Põltsamaa-Võhma</t>
  </si>
  <si>
    <t>kergliiklustee ehitus</t>
  </si>
  <si>
    <t>Muuga tee / Lasketiiru tee ja raudteeülesõidukoha vahel</t>
  </si>
  <si>
    <t>Puuduv ühenduslüli Viimsi vallas oleva teedevõrgu ja Maardu linna 2021 rajatava KLT vahel</t>
  </si>
  <si>
    <t>KLT</t>
  </si>
  <si>
    <t>Kodanik 2020 sügis</t>
  </si>
  <si>
    <t>Pole küsitud</t>
  </si>
  <si>
    <t>?</t>
  </si>
  <si>
    <t>Maksumus ja elanike arv</t>
  </si>
  <si>
    <t>Algus km</t>
  </si>
  <si>
    <t>Piirkond</t>
  </si>
  <si>
    <t>Asukoht (peatus)</t>
  </si>
  <si>
    <t>Elanike arv 5km raadiuses</t>
  </si>
  <si>
    <t>O2-RDT</t>
  </si>
  <si>
    <t>O3-EV</t>
  </si>
  <si>
    <t>O4-KOV</t>
  </si>
  <si>
    <t>E1-ÜT</t>
  </si>
  <si>
    <t>E2-LO</t>
  </si>
  <si>
    <t>E3 - aeg</t>
  </si>
  <si>
    <t>E4 -UD</t>
  </si>
  <si>
    <t>Lõuna</t>
  </si>
  <si>
    <t>Puhu-Ristis  põltsamaa linna pool</t>
  </si>
  <si>
    <t>Inimeste mugavam saamine bussile</t>
  </si>
  <si>
    <t>Bussipeatuse väljaehitamine koos ootekojaga</t>
  </si>
  <si>
    <t>Põltsamaa valla arengukava 2040</t>
  </si>
  <si>
    <t>Puudub vajadus</t>
  </si>
  <si>
    <t xml:space="preserve">Uut bussipeatust pole vaja välja ehitada, on olemas. </t>
  </si>
  <si>
    <t>ei</t>
  </si>
  <si>
    <t>Hiiu maakond</t>
  </si>
  <si>
    <t>Emmaste</t>
  </si>
  <si>
    <t xml:space="preserve">Emmaste bussipeatus tõstetakse uus parkla rajamisel ümber, Transpordiameti poolt ootepaviljoni ei paigaldata. Osavald peav oluliseks peatusesse ootepaviljoni rajamist, kuna see on osavalal keskus. </t>
  </si>
  <si>
    <t>Bussiootepaviljon</t>
  </si>
  <si>
    <t>Emmaste osavald</t>
  </si>
  <si>
    <t>Eelarvestatud.</t>
  </si>
  <si>
    <t>Hiiumaa arengukavas 2035 on välja toodud vajadus logistiliseks sidususeks: https://vald.hiiumaa.ee/documents/17721527/29873096/arengukava.pdf/23e3e09f-93c8-4113-8ee1-11a93063274b</t>
  </si>
  <si>
    <t>Projekt olemas, isikliku kasutusõiguse leping sõlmitud.</t>
  </si>
  <si>
    <t>Põhja</t>
  </si>
  <si>
    <t>Rannarahva</t>
  </si>
  <si>
    <t xml:space="preserve">Viimsi vallas Rohuneeme tee ja Rannavälja tee ristmiku piirkonnas asub keskusest väljuval suunal Rannarahva bussipeatus, millele juurdepääs on liiklusohtlik. Peatust kasutavad sisenemiseks Pringi küla lapsed, kes õpivad Püünsi koolis. Viimsi valla elanike arv kasvab, mis on kaasa toonud ka autoliikluse tõusu. Aasta-aastalt on Viimsi vald ja MTÜ Põhja-Eesti Ühistranspordikeskus tihendanud ühistranspordiliine sh maakonnaliini 114, et tagada elanikele parem ühendus ühistranspordiga. See on kaasa toonud ühistranspordikasutajate arvu kasvu, sh on suurenenud Rannarahva peatuse kasutajate hulk. Peatusele puudub juurdepääs jalgteelt, peatuse ala ei vasta bussipeatustele esitatavatele nõuetele, puudub normikohane ooteala, peatuse platvorm on liiga lühike ja kitsas, puudub ootekoda. Kohalikud elanikud on korduvalt pöördunud murega vallavalitsuse </t>
  </si>
  <si>
    <t>Rohuneeme teele jalgtee ühenduse rajamine lõigus Nurme teest kuni Rannarahva peatuseni, normikohase bussiootepaviljoniga peatuse ooteala väljaehitamine.</t>
  </si>
  <si>
    <t>Viimsi valla arengukava 2020 - 2025 transpordivaldkonna peatükk toob välja olulisemad tegevused transpordi ja liikuvuse korraldamisel:
- säästva liikumiskeskkonna arendamine ja sujuva ning ohutu transpordivõrgustiku tagamine;
- pidev panustamine liikluskultuuri tõstmisesse, liiklusohutuse (sh meresõiduohutuse) tagamisse ja
liikumise turvalisemaks muutmisesse, nt vastavate liiklusohutuse kampaaniate korraldamine,
ühistranspordi taskute rajamine, ülekäiguradade märgistuse parandamine, bussiootepaviljonide
valgustamine jms;
- ühistransporditeenuse toimimise pidev seiramine, elanike (sh erivajadustega inimeste)
liikumisvajadustest lähtuva vallasisese liikuvuskorralduse loomine (nt keskuse ja külade vaheliste
ühenduste piisavus ja sagedus, sõiduskeem ehk kooliring keskuse ja sealt väljaspool asuvate
koolide vahel)
Viimsi valla teede arenguka 2018 - 2028 kohaselt - Kavandatava Ravi ja Sõpruse tee ühenduse eesmärgiks on ringistada ühistranspordi keskusest läbisõit (Ravi tee ei mahuta busse ära). Viimsi valla transpordi- ja liikuvuskorralduse arengukava 2020-2030 peatüki 4.3.3 EESMÄRK: Ühistransporditaristu arendamine näeb ühe tegevusena ette Ravi tee läbimurde tegemise, busside ooteala rajamise ning uute bussipeatuste rajamise.</t>
  </si>
  <si>
    <t>Rannarahva peatuse ümberehituse projekt on Nurme tee rekonstrueerimise projekti koosseisus. Projekteerimine on lõpufaasis (projekt on kooskõlastamise faasis)</t>
  </si>
  <si>
    <t>Riisipere aleviku Veetorni pargi ja reisi parkla ehitus</t>
  </si>
  <si>
    <t>Autode ja jalgrataste parkimiskohtade puudus Riisipere raudteejaama vahetus läheduses (Pargi-Reisi)</t>
  </si>
  <si>
    <t>Parkla rajamine</t>
  </si>
  <si>
    <t>KOV arengukavas, eelarvestrateegias, teehoiukavas</t>
  </si>
  <si>
    <t xml:space="preserve">Projekteerimine pooleli,Raudtee maal IKÕ, reformimata riigimaa omandamise taotlus esitatud. </t>
  </si>
  <si>
    <t>11312 Raasiku kaubajaama tee</t>
  </si>
  <si>
    <t>Raasiku raudteejaama pargi-reisi (Aegviidu-Tapa suunal)</t>
  </si>
  <si>
    <t>Pargi-reisi parkla autodele + rattaparkla/varjualune, hinnangulise suurusega 1000 m2</t>
  </si>
  <si>
    <t>Raasiku vv</t>
  </si>
  <si>
    <t>Kohila Vallavalitsus</t>
  </si>
  <si>
    <t>Kajastatud maakonna-planeeringus ja Raplamaa  arengustrateegias</t>
  </si>
  <si>
    <t>Transpordiameti tehnilised tingimused plaanis taotleda 2021.</t>
  </si>
  <si>
    <t>Ida</t>
  </si>
  <si>
    <t>Rõõmu –Viira tee (22253) lõigus Pajula tee 2 kuni Aovere –Luunja tee 44 kõik peatused</t>
  </si>
  <si>
    <t>Rõõmu –Viira tee (22253) väga kitsas, bussi ooteplatvormid ja paviljonid puuduvad</t>
  </si>
  <si>
    <t>Bussiootealad koos paviljonidega</t>
  </si>
  <si>
    <t>pole teada</t>
  </si>
  <si>
    <t>kokkuleppel</t>
  </si>
  <si>
    <t>Ida-Virumaa</t>
  </si>
  <si>
    <t>Sillamäe Bussijaam</t>
  </si>
  <si>
    <t>Sillamäe bussijaam on ehitatud ca 20 aastat tagasi. Tänaseks hetkeks on sõiduteed ja bussiootepaviljonid oluliselt amortiseerunud, ülekäigud pole turvalised ja bussijaamas polnud ette nähtud kohti sõiduautode pakrimikseks ja jalgratta ja tõukerattade parklaid. Projekti raames on vajalik bussiootealade uuendamine, jalgrattaparkla loomine ning autoparkla "pargi ja reisi" loomine (osaliselt lahendatakse see 2021. aastal Põhimaantee eritasandilise ristmiku ehitamisel. Bussijaamas tekib eeldus ühistranspordi rohkem kasutamiseks. Lisaks on Sillamäe bussijaam oluline ümberistumiskoht Vaivara raudteejaama, naaberlinnade ja tulevikus ka Sillamäe reisiterminali jõudmiseks.</t>
  </si>
  <si>
    <t>Bussijaama lähedusse vajalik parkla rajamine "pargi ja reisi" jaoks, jalgratta ja tõukerattaparkla rajamine, bussiootepaviljonide ja bussipeatuste uuendamine.</t>
  </si>
  <si>
    <t>Sillamäe Linnavalitsus</t>
  </si>
  <si>
    <t>Valmis kaasrahastama rajamiskulusid.
Kasutuskulud kaetakse linnaeelarvest juba praegu.</t>
  </si>
  <si>
    <t>Ida-Viru Maakonna Arengustrateegia 2019-2030+ lk 46 T1; ET1; E1; K1 Transpordiühenduste tugevdamine – laeva- ja lennuühenduse loomine, rongi ja bussiliikluse tihendamine, sh maakonnasisene bussitransport objektidele ja tagasi. Lk 49 ET1; E1;
T1 Kiire ja mugava kauba ja inimeste liikumise tagamine (sh neljarealine Tallinna – Narva maantee, kiire rongiühendus ja rongiühenduse elektrifitseerimine, laevaühendus Soomega, lennujaam, kergliiklusteede võrgustik)
teostades Tallinn-Narva-(Peterburi) suunal 2030 aastaks seotud sihtide vaheliselt liikuvusuuringu ja teostatavus-tasuvusanalüüisi optimaalse liikluslahenduse leidmiseks).
Sillamäe linna arengukava 2020-2024 punkt 3.3 alapunkt 4 ja 7</t>
  </si>
  <si>
    <t>Pukamäe bussi-peatus</t>
  </si>
  <si>
    <t>Arenevas Kohila alevi äärses elamupiirkonnas puudub ühistranspordi kasutamise võimalus, kuna puudub bussipeatus.</t>
  </si>
  <si>
    <t>Pukamäe bussipeatuste rajamine kahele poole teed (sh ootepaviljonide püstitamine).</t>
  </si>
  <si>
    <t>Valla arhitekti koostatud asendiplaan 2020. Transpordiameti tehnilised tingimused plaanis taotleda 2021.</t>
  </si>
  <si>
    <t>Sadama bussi-peatus</t>
  </si>
  <si>
    <t>Tallinn-Rapla-Türi mnt tiheda liiklusega lõigul on uued elamupiirkonnad, kus on peatus.ee järgne peatus, mis on ka graafikutes, kuid puudub füüsiline peatuse koht. Elanikud (sh õpilased) soovivad kasutada ühis-transporti. Maante ääres puudub ka kergliiklustee järgmise peatuseni.</t>
  </si>
  <si>
    <t>Sadama bussipeatuste rajamine (sh bussitasku, ooteala ja paviljoni püstitamine)</t>
  </si>
  <si>
    <t>Kajastatud Raplamaa arengustrateegias</t>
  </si>
  <si>
    <t>Tamme</t>
  </si>
  <si>
    <t xml:space="preserve">Viimsi vallas Rohuneeme tee ja Rannavälja tee ristmiku piirkonnas asub Tamme bussipeatus, millele juurdepääs on liiklusohtlik. Viimsi valla elanike arv kasvab, mis on kaasa toonud ka autoliikluse tõusu. Aasta-aastalt on Viimsi vald ja MTÜ Põhja-Eesti Ühistranspordikeskus tihendanud ühistranspordiliine, et tagada elanikele parem ühendus ühistranspordiga. See on kaasa toonud ühistranspordikasutajate arvu kasvu, sh on suurenenud Tamme peatuse kasutajate hulk. Peatusele puudub juurdepääs jalgteelt, mis tagaks ohutud liikumistingimused peatusesse. </t>
  </si>
  <si>
    <t>Rohuneeme teele jalgtee ühenduse rajamine Tammiku teelt (Tammiku tee 19 ja 21 vahelt), ilma sõidutee äärde tulemata, et oleks tagatud turvalisus. Olemasoleva peatuse edasitõstmine 120m võrra. Peatuse ooteala ümberehitus normikohaseks ja ligipääsetavaks. See võimaldab peatusele parema asukoha Viimsi Vabaõhumuuseumi teenindamisel ning samuti asub peatus rohkemate ühendusteede juures, mis tagab paremad liikumisteed kergliiklejatele erinevatesse asumipiirkondadesse.</t>
  </si>
  <si>
    <t>Projekt puudub</t>
  </si>
  <si>
    <t>Tohisoo bussi-peatus</t>
  </si>
  <si>
    <t>Piirkonna ühistranspordi kasutajate vähenemise on põhjustanud ilmastikuolude eest kaitsevad ebapiisavad tingimused bussi ootamise ajal. Riigitee lääne poolses küljes puudub ootepaviljon. Ootealad/bussitaskud vajavad mõlemal pool teed kaasajastamist.</t>
  </si>
  <si>
    <t>Tohisoo bussi peatuse rajamine ja olemasoleva kaasajastamine (sh paviljoni püstitamine).</t>
  </si>
  <si>
    <t>Nõo bussipeatus</t>
  </si>
  <si>
    <t>Puudub nii autode kui ka jalgrataste parkimisvõimalus bussile ümberistujatele. Olemasoelva ootekaoda ei vasta tänastele nõuetele.</t>
  </si>
  <si>
    <t>Parkla autodele, parkimismaja jalgratastele. Bussiootekoda kaug ja kohalikule bussiliiklusele.</t>
  </si>
  <si>
    <t>Nõo vallavalitsus</t>
  </si>
  <si>
    <t>Nõo vald on nõus rahaliselt projektis osalema. Nõo vald on valmis katma hoolduskulud.</t>
  </si>
  <si>
    <t>Nõo valla üldplaneering</t>
  </si>
  <si>
    <t>Võimalus kasutada riigitee maad või Nõo vallale kuuluvat maad.</t>
  </si>
  <si>
    <t>Loone bussipeatused</t>
  </si>
  <si>
    <t>Loone külas puuduvad bussi ootamiseks ootealad/bussitaskud ja bussipeatuste tähistused.</t>
  </si>
  <si>
    <t xml:space="preserve">Loone külas bussipeatuste rajamine kahele poole teed (sh ootepaviljonide püstitamine). </t>
  </si>
  <si>
    <t>Suurevälja peatus ja jalgteeühendus</t>
  </si>
  <si>
    <t>Viimsi vallas Rohuneeme tee ja Rannavälja tee ristmiku piirkonnas asub valla keskuse ja Tallinna suunaline Suurevälja bussipeatus, millele juurdepääs on liiklusohtlik. Viimsi valla elanike arv kasvab, mis on kaasa toonud ka autoliikluse tõusu. Aasta-aastalt on Viimsi vald ja MTÜ Põhja-Eesti Ühistranspordikeskus tihendanud ühistranspordiliine, et tagada elanikele parem ühendus ühistranspordiga. See on kaasa toonud ühistranspordikasutajate arvu kasvu, sh on suurenenud Suurevälja peatuse kasutajate hulk. Kahjuks puudub keskuse suunalisele peatusele juurdepääs jalgteelt ning ülekäigurada, mis tagaks ohutud liikumistingimused peatusesse. Peatusesse liikumise ohtlikuse kohta on tehtud ka elanike poolt korduvalt pöördumisi nii Maanteeametile kui Viimsi Vallavalitsusele. Eeltoodust lähtuvalt esitame ettepaneku LOK raames antud liiklusohtlik koht ohutumaks ehitada.</t>
  </si>
  <si>
    <t>Rohunemee teele jalgtee ja ülekäiguraja projekteerimine ning ehitus</t>
  </si>
  <si>
    <t>Meeri tee</t>
  </si>
  <si>
    <t>Puudub parkimisvõimalus pargi ja sõida lahenduse kasutamiseks. Bussile minejad pargivad tee ääres.</t>
  </si>
  <si>
    <t>Kolm parkimiskohta autodele ja mõned jalgratastele.</t>
  </si>
  <si>
    <t>Käesoleval hetkel Nõo vald ei ole nõus katma rajamise ja hooldamiskulusid.</t>
  </si>
  <si>
    <t>Võimalus kasutada riigitee maad.</t>
  </si>
  <si>
    <t>Vana-kastre</t>
  </si>
  <si>
    <t>Vana-kastre bussipeatus on suur ristmik Räpina mnt ääres, kuhu riigimaanteed erinevatest suunadest kokku jõuavad. Samuti on Räpina mnt väga hea bussiühendusega ning "Pargi ja Sõida" parkla ehitamine viiks rohkem inimesi ühistranspordi kasutajateks kui neil oleks oma sõiduvahend võimalik turvaliselt parklasse jätta.</t>
  </si>
  <si>
    <t>Pargi ja sõida parkla.</t>
  </si>
  <si>
    <t>Kastre vallavalitsus</t>
  </si>
  <si>
    <t>Kov valmis katma kasutus ja hoolduskulud</t>
  </si>
  <si>
    <t>Kov valmis kaasrahastama 15%</t>
  </si>
  <si>
    <t>Olemas Tartumaa  arengustrateegias</t>
  </si>
  <si>
    <t>projekt puudub, kinnistu riigi omandis 29101:001:0901</t>
  </si>
  <si>
    <t>Vääna-Jõesuu</t>
  </si>
  <si>
    <t>Vääna-Jõesuu on mitmete Põhja-Eesti ja KOV bussidele lõpp-peatuseks, kuid praegusel hetkel on lahendamata busside ümberpööramine. Hetkel toimub see Tallinn-Kloogaranna maanteel, kus on üsna kitsad olud. Sealhulgas tuleb pööret sooritades läbida erakinnistul asuv parkla, mis suvel on autosid täis. Ettepanek on tulnud PEÜTK poolt, samuti on Transpordiamet probleemist teadlik.</t>
  </si>
  <si>
    <t>Vääna-Jõesuu busside ümberpööramise koha rajamine</t>
  </si>
  <si>
    <t>-</t>
  </si>
  <si>
    <t>Eskiis koostamisel</t>
  </si>
  <si>
    <t>Rabivere küla (Väikeküla) bussipeatused</t>
  </si>
  <si>
    <t>Rabivere külas (Väikekülas) puuduvad bussi ootamiseks ooteala ja bussipeatuse tähistused.</t>
  </si>
  <si>
    <t>Rabivere külas (Väikekülas) bussipeatuste rajamine kahele poole teed. (sh ootepaviljonide püstitamine).</t>
  </si>
  <si>
    <t>Võru</t>
  </si>
  <si>
    <t>Angerja küla (Mäeristi) bussipeatused</t>
  </si>
  <si>
    <t>Peatuste asukohad ei ole välja ehitatud.</t>
  </si>
  <si>
    <t>Angerja küla (Mäeristi) bussipeatuste rajamine kahele poole teed (sh ootepavlijonide püstitamine).</t>
  </si>
  <si>
    <t>36.69-36.79</t>
  </si>
  <si>
    <t>Aegviidu alev, Aegviidu raudteejaam</t>
  </si>
  <si>
    <t xml:space="preserve">Aegviidu raudteejaama parkla laiendus. Olemasolev parkla ei mahuta autosid ära. Parklat kasutavad ka Lääne-Virumaalt ja Järvamaalt Tallinna rongiga tööle  sõitjad </t>
  </si>
  <si>
    <t>Parkla laiendus pindalaga 1900 m2</t>
  </si>
  <si>
    <t>Lääne-Viru</t>
  </si>
  <si>
    <t>Bussipeatuse parkla</t>
  </si>
  <si>
    <t>Puudub jalakäijate liikumisruum, ristmiku ala raskesti hoomatav ja jalakäijatele ohtlik. Bussipeatuse ja Lehtse rongipeatuse liikumise ala</t>
  </si>
  <si>
    <t>Bussioote platvorm ja parkla</t>
  </si>
  <si>
    <t>53 000.-</t>
  </si>
  <si>
    <t>Tapa vald</t>
  </si>
  <si>
    <t>_</t>
  </si>
  <si>
    <t>11 000.-</t>
  </si>
  <si>
    <t>Rabivere bussipeatused</t>
  </si>
  <si>
    <t>Rabiveres puudub lääne pool riigiteed ootepaviljoni ja bussitaskuga bussipeatus, ida poolne bussitasku vajab kaasajastamist.</t>
  </si>
  <si>
    <t>Rabivere bussipeatuste rajamine kahele poole teed (sh paviljonide püstitamine).</t>
  </si>
  <si>
    <t>Peatuse ID 6500724-1 ja 6500723-1</t>
  </si>
  <si>
    <t>Peatusse liikumiseks peavad inimesed liikuma ca 400 meetrit maanteel 45 Tartu-Räpina-Värska. See on ohtlik ja soovitakse peatuse ümbertõstmist külale lähemale</t>
  </si>
  <si>
    <t>Bussipeatuse uude asukohta ehitamine</t>
  </si>
  <si>
    <t>Teadmata</t>
  </si>
  <si>
    <t>Setomaa vald</t>
  </si>
  <si>
    <t>KOV valmis katma kasutuskulusid</t>
  </si>
  <si>
    <t>10% projekteerimis- ja ehitusmaksumusest</t>
  </si>
  <si>
    <t>Ei ole kajastatud</t>
  </si>
  <si>
    <t>Projekteerimist ei ole alustatud</t>
  </si>
  <si>
    <t>Bussioote paviljon</t>
  </si>
  <si>
    <t>Aktiivses kasutuses (kaitseväelaste lähim ühistranspordi peatus) ühendus Tapa kesklinna bussipeatuse ja rongijaamaga.</t>
  </si>
  <si>
    <t>Bussioote platvorm ja ootepaviljon</t>
  </si>
  <si>
    <t>10 000,-</t>
  </si>
  <si>
    <t>3 000.-</t>
  </si>
  <si>
    <t>Muuga</t>
  </si>
  <si>
    <t>Viimsi vallas Muuga külas asub Muuga bussipeatus, mis ei vasta tänapäevastele ligipääsetavuse nõuetele. Peatusesse ei vii kergliiklusteed, peatuse ooteala on amortiseerunud. Peatuses peatuvad nii valla bussiliinid V4, V6, V7, V9 kui Tallinna piiriülene bussiliin 38, mis on ka antud liini lõpp-peatus ning kus bussile on ette nähtud seisuaeg. Peatuses puudub bussile eraldi seisuaja tegemise ala ning tualetivõimalus. Tegemist on väga olulise piirkondliku sõlmpeatusega.</t>
  </si>
  <si>
    <t>Tallinna linn on kaardistanud ja otsinud võimalusi Tallinna bussiliinide lõpp-peatustesse busside seisuplatsi ning juhtide olmeruumide rajamiseks. Ühe ettepanekuna on esitatud eskiisprojekt Muuga peatuseala ümberehituseks, mille raames rajataks bussidele parkimiskohad, juhtidele soojak olmeruumidega, nõuetele vastavad ja hea ligipääsetavusega bussipeatused Muuga tee mõlemale suunale. Kava kohaselt pikendadaks Tallinna bussiliini 34A Muuga peatuseni, millega paraneks oluliselt Muuga küla ühistranspordi kättesaadavus.</t>
  </si>
  <si>
    <t>Viimsi valla arengukava 2020 - 2025 transpordivaldkonna peatükk toob välja olulisemad tegevused transpordi ja liikuvuse korraldamisel:
- säästva liikumiskeskkonna arendamine ja sujuva ning ohutu transpordivõrgustiku tagamine;
- pidev panustamine liikluskultuuri tõstmisesse, liiklusohutuse (sh meresõiduohutuse) tagamisse ja
liikumise turvalisemaks muutmisesse, nt vastavate liiklusohutuse kampaaniate korraldamine,
ühistranspordi taskute rajamine, ülekäiguradade märgistuse parandamine, bussiootepaviljonide
valgustamine jms;
- ühistransporditeenuse kvaliteedi tõstmine ja keskkonnasäästlike ühissõidukite (nt elektri-, gaasi- ja
hübriidbussid) kasutuselevõtu võimaluste ja tasuvuse uurimine;
- ühistransporditeenuse toimimise pidev seiramine, elanike (sh erivajadustega inimeste)
liikumisvajadustest lähtuva vallasisese liikuvuskorralduse loomine (nt keskuse ja külade vaheliste
ühenduste piisavus ja sagedus, sõiduskeem ehk kooliring keskuse ja sealt väljaspool asuvate
koolide vahel), naaberomavalitsustega ühenduse pidamise parendamine (sh Pargi ja Reisi süsteem,
koolibuss jms).
Viimsi valla transpordi- ja liikuvuskorralduse arengukava 2020 - 2030 peatükis 4.3.3 EESMÄRK: Ühistransporditaristu arendamine on ühistranspordi kättesaadavuse parandamiseks kavandatud arendada bussipeatuste võrgustikku sh varustada kõik peatused ootepaviljonidega ning võimaluse korral rajada taskuga bussipeatused. Rõhutatud on olulisust ühistranspordikasutuse tagamisel võimaldada mugavad ja ohutud juurdepääsuvõimalused peatustele. Tegevustena on välja toodud uute peatuste rajamine, olemasolevate rekonstrueerimine, peatustele juurdepääsetavuse ning ohutuse hindamine ja parandamine, busside ootealade rajamine.</t>
  </si>
  <si>
    <t>Reaalprojekt OÜ poolt on 2019 aastal koostatud eskiisprojekt</t>
  </si>
  <si>
    <t>Pahkla bussipeatused</t>
  </si>
  <si>
    <t xml:space="preserve">Pahkla külakeskuses puuduvad korralikult välja ehitatud bussipeatused ja piirkonna ühistranspordi kasutajate vähenemise on põhjustanud ilmastikuolude eest kaitsevad ebapiisavad tingimused bussi ootamise ajal. </t>
  </si>
  <si>
    <t>Pahkla külakeskuse bussipeatuste rajamine kahele poole teed (sh paviljonide püstitamine).</t>
  </si>
  <si>
    <t>Mäo</t>
  </si>
  <si>
    <t>Tallinn-Tartu suunal liikuvad bussid ei peatu Mäos. 1. Nimelt Tallinn-Tartu liinil olevad bussid ei taha enam Mäo Reisiterminali sisse keerata, kuna kaotavad sellega palju aega ja on palju keerutamist. See on suretanud vaikselt välja peaaegu kogu bussiliikluse. Kuigi praegune bussiterminal on Mäos, kuhu on kergliiklusteed rajatud ja kohalikul tasandil ühistransport ühendatud, ei toimi peale neljarealise tee valmimist kaugliinide transport. Seega loogilisem oleks taskut või peatust teha olemasoleva neljarealise tee äärde, kuhu kaugliinid ka peatuksid.</t>
  </si>
  <si>
    <t xml:space="preserve">"Tasku"/peatus busside peatumiseks </t>
  </si>
  <si>
    <t>Paide Linnavalitsus</t>
  </si>
  <si>
    <t xml:space="preserve">Paide linna arengukava aastani 2035 (https://www.riigiteataja.ee/akt/404122020044). Lisa 2 punkt 42 (Luua tarbijasõbralik ühistransport Vajadus: Bussid ei peatu ja ühistranspordi korraldamises on vähe paindlikkust.) </t>
  </si>
  <si>
    <t>Ettevalmistus puudub. Vajalik kokkulepe bussipeatuse asukohaks</t>
  </si>
  <si>
    <t>Tee km</t>
  </si>
  <si>
    <t>KOV kaas-rahastus; €</t>
  </si>
  <si>
    <t xml:space="preserve">Selle tee kohta, kuhu see peatus jäävab on esitatud petitsioon, Luunja vald on samuti taodelnud vastavale teele kergliiklusteed, mis ületab 5km. Kergliiklusteatlustes nr 54 ning 252. </t>
  </si>
  <si>
    <t xml:space="preserve">Pahkla bussipeatus asub külas sees, mitte selles kohas, kus taotluses on märgitud. Hetkel on kasutusel vaid ühe suuna peatus (läbivad liinid teevad tagasipöörde).  </t>
  </si>
  <si>
    <t>Selle tee kohta, kuhu see peatus jäävab on esitatud petitsioon, Luunja vald on samuti taodelnud vastavale teele kergliiklusteed, mis ületab 5km. Kergliiklusteatlustes nr 54 ning 252. Rek. 2025.</t>
  </si>
  <si>
    <t>Janno palun pane hind</t>
  </si>
  <si>
    <t>Jrk nr</t>
  </si>
  <si>
    <t>Kolu-Tammiku, lõik Kolu-Oru</t>
  </si>
  <si>
    <t>Oru küla elanike juurdepääsu võimaldamine maakonnaliinide bussiliiklusele Kolu peatustest</t>
  </si>
  <si>
    <t>Kolu-Oru kergliiklustee</t>
  </si>
  <si>
    <t>Kose Vallavalitsus</t>
  </si>
  <si>
    <t xml:space="preserve">Raasiku alevikus on ühel pool raudteed pargi-reisi parkla olemas, ent vajadus on ka teisel suunal ning täiendavate parkimiskohtade järele </t>
  </si>
  <si>
    <t>Viimsi vallas Rohuneeme tee ja Rannavälja tee ristmiku piirkonnas asub keskusest väljuval suunal Rannarahva bussipeatus, millele juurdepääs on liiklusohtlik. Peatust kasutavad sisenemiseks Pringi küla lapsed, kes õpivad Püünsi koolis. Viimsi valla elanike arv kasvab, mis on kaasa toonud ka autoliikluse tõusu. Aasta-aastalt on Viimsi vald ja MTÜ Põhja-Eesti Ühistranspordikeskus tihendanud ühistranspordiliine sh maakonnaliini 114, et tagada elanikele parem ühendus ühistranspordiga. See on kaasa toonud ühistranspordikasutajate arvu kasvu, sh on suurenenud Rannarahva peatuse kasutajate hulk. Peatusele puudub juurdepääs jalgteelt, peatuse ala ei vasta bussipeatustele esitatavatele nõuetele, puudub normikohane ooteala, peatuse platvorm on liiga lühike ja kitsas, puudub ootekoda. Kohalikud elanikud on korduvalt pöördunud murega vallavalitsuse poole.</t>
  </si>
  <si>
    <t>Puudub mugavam ümberistumisvõimalus, et jätkata teed ühissõidukiga</t>
  </si>
  <si>
    <t>Kergliikustee pikkus</t>
  </si>
  <si>
    <t>kergliiklusteed</t>
  </si>
  <si>
    <t>Kergliiklusteede võrgustiku täiendamine. Oluline tervikliku kergliiklustee väljaehitamine kogu Suurupi külas, et tagada inimeste ohutu liiklemine ühistranspordi peatusteni, tagada ohutu juurdepääs Harku valla tervele kergliiklusteede võrgustikule.</t>
  </si>
  <si>
    <t>Paide - Viraksaare</t>
  </si>
  <si>
    <t>Viraksaare küla on endisest suvilate rajoonist välja kasvanud ca 100 püsiealnikuga küla (suve perioodil pidevalt külas viibivaid inimesi rohkem). Elanike arvu pidev kasv on tajutav. Samuti on sinna planeeritud uuselamu arendus. Linnakeskusesse viiv sõidutee on kitsas ja ühistransport pigem harv. Teel liigub palju jalakäijaid ja rattureid. Eramupiirkond on Paide -Viraksaare vahelisel lõigul ka Türi valla territooriumil.</t>
  </si>
  <si>
    <t>Eraldiasetsev (valgustatud) JJT pikkusega 2,5 km on projekteeritud 22103 maanteest paremale; Eraldiasetsev (valgustatud) JJT pikkusega 0,2 km on projekteeritud 22103 maanteest vasakule; Kohaliku Kõpla ja Joosepi tee ning riigimaantee nr 22105 (Pihva tee) äärde on projekteeritud eraldiasetsev (valgustatud) JJT pikkusega 0,94 km. JJT alguses ja lõpus, ristumisel riigimaanteega 22103 on projekteeritud teeületuskohad. Teeületuskohast tulenevalt 22103 katteremont 250 m</t>
  </si>
  <si>
    <r>
      <t xml:space="preserve">Asfaltkattega jalgrattatee (ja </t>
    </r>
    <r>
      <rPr>
        <sz val="11"/>
        <rFont val="Calibri"/>
        <family val="2"/>
        <charset val="186"/>
        <scheme val="minor"/>
      </rPr>
      <t>valgustus)</t>
    </r>
  </si>
  <si>
    <t>Sillamäe bussijaam on ehitatud ca 20 aastat tagasi. Tänaseks hetkeks on sõiduteed ja bussiootepaviljonid oluliselt amortiseerunud, ülekäigud pole turvalised ja bussijaamas polnud ette nähtud kohti sõiduautode parkimiseks ega jalgrataste ja tõukerataste parklaid. Projekti raames on vajalik bussiootealade uuendamine, jalgrattaparkla loomine ning autoparkla "pargi ja reisi" loomine (osaliselt lahendatakse see 2021. aastal põhimaantee eritasandilise ristmiku ehitamisel. Bussijaamas tekib eeldus ühistranspordi enam kasutamiseks. Lisaks on Sillamäe bussijaam oluline ümberistumiskoht Vaivara raudteejaama, naaberlinnade ja tulevikus ka Sillamäe reisiterminali jõudmiseks.</t>
  </si>
  <si>
    <t>Bussijaama lähedusse vajalik parkla rajamine "pargi ja reisi" jaoks, jalgrataste ja tõukerataste parkla rajamine, bussiootepaviljonide ja bussipeatuste uuendamine.</t>
  </si>
  <si>
    <t>Puudub nii autode kui ka jalgrataste parkimisvõimalus bussile ümberistujatele. Olemasolev ootekaoda ei vasta tänastele nõuetele.</t>
  </si>
  <si>
    <t>Vana-kastre bussipeatus on suur ristmik Räpina mnt ääres, kuhu riigimaanteed erinevatest suunadest kokku jõuavad. Samuti on Räpina mnt väga hea bussiühendusega ning "Pargi ja Sõida" parkla ehitamine viiks rohkem inimesi ühistranspordi kasutajateks, kui neil oleks oma sõiduvahend võimalik turvaliselt parklasse jätta.</t>
  </si>
  <si>
    <t>0,3</t>
  </si>
  <si>
    <t>Tartu  maakond</t>
  </si>
  <si>
    <t>Palupera rongijaam</t>
  </si>
  <si>
    <t xml:space="preserve">Palupera raudtejaama on oluline rongijaam nii Elva valla Palupera ja Rõngu piirkonna elanikele kui ka Otepää valla elanikele. Palupera raudtejaama taristu on amortiseerunud - puudub korrastatud ja valgustatud parkimisala ning rattaparka. Piirkonna elanikud ja raudtejaama kasutajad  on korduvalt tähelepanu juhtinud, et raudtejaama taristu vajaks ajakohastamist.  Jaamas peatuvad Tartu-Valga reisirongid (Elron) ning see on kohalike elanike jaoks oluline transpordisõlm. Palupera piirkonnakogu on samuti välja toonud, et jaama korrastamine on piirkonna jaoks ülioluline arendus, samuti  Otepää vald, et elanikud saaksid mugavalt jaama kasutada. Tulevikus on võimalik luua   ühistranspordiliinid  Palupera raudteejaamast Otepääle ja Rõngu.   Tartumaa ÜTK on huvitatud bussiliikluse avamisest Palupera jaama rongidele ümberistumiseks, kui objekt saab toetust Projekti raames ehitatakse: parkla raudtejaama hoone juurde, mis võimaldaks ka busside liikumist (pööramine, manööverdused); parkla valgustus koos turvakaamerate lahendusega; jalgrattahhoidja jaamahoone kõrvale ning kergtee/jalgtee  lõik, mis ühendaks raudtejaama ja riigitee nr 71, kus juba valgustusega kergtee on olemas. </t>
  </si>
  <si>
    <t>Parkla koos busside peatumise võimalusega ning liinibusside peatusega;  parkla vaglustus; turvakaamerad parkla alale; jalgrattaparkla; kergtee lõik jaamahoonest riigiteeni nr 71 (Rõngu-Otepää maantee). Rajatava taristu eesmärk on ühendada maakonnaliinide liiklus reisirongidega ümberistumissõlme loomise näol ning pargi-ja-reisi kontseptsiooni rakendamine.</t>
  </si>
  <si>
    <t xml:space="preserve">Elva Vallavalitsus ja Tartumaa Ühistranspordi keskus </t>
  </si>
  <si>
    <t>Kloogaranna-Tallinn maantee, Kodu tn ja Ranna tee vahelise kergliiklustee rajamine (Tallinn-Kloogaranna mnt ääres)</t>
  </si>
  <si>
    <t>Vaja on rajada täiendav kergliiklustee Tallinn - Rannamõisa - Kloogaranna maantee äärde Kodu ja Ranna tee vahelisele lõigule, et täiendada KLT võrgustikku. Antud teelõiku kasutatakse väga palju ühistranspordi peatusesse, Tabasalu keskusesse ja Tabasalu Ühisgünaasiumisse liikumiseks. Hetkel on rajatud kergliiklustee ainult ühele poole maanteed, kuid arvestades piirkonnas liiklejate hulka on vaja rajada kergliiklustee ka teisele poole maanteed, et muuta liikumine sihtkohtade vahel oluliselt paremaks ja ohutumaks.</t>
  </si>
  <si>
    <t>Põlvamaa</t>
  </si>
  <si>
    <t>Põlva ringtee, Värska maanteelt kuni Jaama tänavani</t>
  </si>
  <si>
    <t xml:space="preserve">Põlva ringteed kasutavad Rosma küla lapsed, käivad jalgsi ja jalgrattaga Lina tn koolimajja või Põlva linna lapsed, kes õpivad Rosmal Johannese koolis. Lisaks veel täiskasvanud, kes käivad Põlva linnas tööl. Põlva ringtee on tiheda liiklusega transiittee, mida kasutavad Koidula piiripunkti suundujad. Põlva ringtee on populaarne ka tervisesportlaste ja harrastajate seas, kes Rosma Linnamäe matkaradadel jooksmas ja jalutamas käivad. Kergteelõigu rajamisega oleks ühtlasi ühendatud ka kergteede ring ümber Põlva linna ja lähiala. </t>
  </si>
  <si>
    <t>jalg- ja jalgrattatee</t>
  </si>
  <si>
    <t>Põlva VV</t>
  </si>
  <si>
    <t>Kõrveküla - Aovere kergliiklustee</t>
  </si>
  <si>
    <t>Kergliiklustee puudub. Selle rajamine tagab kergteeühenduse Aovere ristini.</t>
  </si>
  <si>
    <t>4,3 km kergliiklusteed</t>
  </si>
  <si>
    <t>Nõo-Tamsa, tee alaguses Nõo aleviku sisene lõik kuni olemasoleva kergliiklusteeni.</t>
  </si>
  <si>
    <t>Puudub kergliiklustee, liikumine toimub teepeenral. Meeri tee bussipeatusest puudub turvaline ühendus Nõo aleviku. Meeri tee bussipeatus on oluline  sihtpunkt, kuna seal peatuvad osad kaugliini bussid mis Nõo aleviku sisse ei sõida.</t>
  </si>
  <si>
    <t>Kergliiklustee Meeri tee bussipeatusest Nõo ringteeni ja sealt Oja tänava otsani, mille tulemusena luuaks ühendus olemasolevate kergliikklusteede võrgustikuga.</t>
  </si>
  <si>
    <t>Rapla maakond</t>
  </si>
  <si>
    <t>20171 Märjamaa-Valgu
(Kasti tee)</t>
  </si>
  <si>
    <t xml:space="preserve">Kasti tee kergliikulustee ühendab kahte tõmekeskust. Ühest küljest Märjamaa alevi nn peatänav ning teisest aastaringselt tegutsev Järta tervisespordikeskus. Kasti tee on tihedas kasutuses koondades endas liiklejaid kõrval tänavatelt. Lisaks kasutavad Kasti piirkonna elanikud nimetatud teed kodu ja kooli vahet liiklemiseks või tööle ja koju minekuks.  Märjamaa alevi nn peatänaval Märjamaa-Konuvere maantee nr 20170 saab rajatav kergtee kokku olemasoleva kergliiklusteega, täiendades nii kergliiklusteede võrgustikku. Paraneb juurdepääs ühistranspordile, seejuures kaugliinidele. 
Märjamaa-Kasti vahelist teelõiku kasutatakse Järta tervisekeskusesse minekuks, kus paljud Märjamaa alevi inimesed käivad mängimas discgolfi ning talvel suusatamas. See on antud lõigul väga oluliseks tõmbekeskuseks.  Liikluskoormus antud lõigul järjest tõuseb ning jalakäijatele sõiduteel liiklemine on väga ohtlik. Talvisel ajal on jalgsi liiklemine eriti raskendatud ning autode eest saab ohutuse kaugusesse puigelda vaid lumevalli hüpates. Kõnealune tee lõik on suureks murekohaks kogukonnale ja tuntakse muret laste ning vanurite ohutuse pärast. 
Põhimaante nr 4 ehitamisega kavandatakse Kasti tee riste üle Tallinn-Pärnu mnt, mis võimaldab rajada ka kergliiklustee ohutuks maantee ületamiseks. Nii on võimalik spordiharrastajatel jõuda Märjamaa alevist Järta tervisespordikeskusesse autot kasutamata. 
Kõnealune kergliiklustee on võimalik välja ehitada ka kahes etapis: 0,05 -1,3 ("Järta" ühistranspordipeatuseni) ja 1,3-3,2 (Järta tervsespordikeskuseni), viimane lõik paikneks enne ja pärast ristet põhimaanteega nr 4 ning sõltub nimetatud objekti ehitamise aastast. </t>
  </si>
  <si>
    <t>Märjamaa vallavalitsus</t>
  </si>
  <si>
    <t>Jõhvi - Tartu - Valga, Tartumaal Külitse aleviku ja Järiste küla vaheline lõik</t>
  </si>
  <si>
    <t>Puudub kergliiklustee lõik Tartumaal Tartu ja Elva vahelisel kergliiklusvõrgustikul. Kergliiklus toimub põhimaantee teepeenral.</t>
  </si>
  <si>
    <t>Tartu-Elva kergliiklustee olulise puuduva ühenduslüli rajamine Külitse aleviku ja Järiste küla vahele.</t>
  </si>
  <si>
    <t>Aiamaa-Nõo, Nõo aleviku sisene lõik poest bussijaama ja olemasoleva jalgteeni</t>
  </si>
  <si>
    <t>Puudub kergliiklustee, liikumine toimub teepeenral. Teiselpool teed olemasolevat kergliiklusteed ei kasutata bussipeatuse ja Coopi vaheliseks liiklemiseks. Talvel lumehangede tõttu liiklemine maantee serval.</t>
  </si>
  <si>
    <t xml:space="preserve">Kergliiklustee Coopist (Tartu tn 3, Nõo alevik) Nõo bussipeatuse  ja sealt ringtee poole kuni olemasoleva jalgteeni. </t>
  </si>
  <si>
    <t xml:space="preserve">Rapla - Märjamaa (Rapla-Kuusiku) </t>
  </si>
  <si>
    <t xml:space="preserve">Liiklusohtliku olukorra likvideerimine, Kuusiku ja Iira küla Rapla linnaga ühendamine </t>
  </si>
  <si>
    <t>Asukoht kaardil</t>
  </si>
  <si>
    <t xml:space="preserve">Asukoht kaardil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</si>
</sst>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
    <numFmt numFmtId="166" formatCode="0.000"/>
  </numFmts>
  <fonts count="23"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u/>
      <sz val="11"/>
      <color theme="10"/>
      <name val="Calibri"/>
      <family val="2"/>
      <scheme val="minor"/>
    </font>
    <font>
      <sz val="11"/>
      <color theme="1"/>
      <name val="Calibri"/>
      <family val="2"/>
      <scheme val="minor"/>
    </font>
    <font>
      <b/>
      <sz val="11"/>
      <color theme="1"/>
      <name val="Calibri"/>
      <family val="2"/>
      <scheme val="minor"/>
    </font>
    <font>
      <sz val="10"/>
      <color rgb="FF000000"/>
      <name val="Arial"/>
      <family val="2"/>
      <charset val="186"/>
    </font>
    <font>
      <sz val="11"/>
      <name val="Calibri"/>
      <family val="2"/>
      <scheme val="minor"/>
    </font>
    <font>
      <sz val="11"/>
      <name val="Calibri"/>
      <family val="2"/>
      <charset val="186"/>
      <scheme val="minor"/>
    </font>
    <font>
      <sz val="11"/>
      <color rgb="FF000000"/>
      <name val="Calibri"/>
      <family val="2"/>
      <charset val="186"/>
      <scheme val="minor"/>
    </font>
    <font>
      <sz val="11"/>
      <color rgb="FF9C0006"/>
      <name val="Calibri"/>
      <family val="2"/>
      <scheme val="minor"/>
    </font>
    <font>
      <sz val="11"/>
      <color rgb="FF9C5700"/>
      <name val="Calibri"/>
      <family val="2"/>
      <scheme val="minor"/>
    </font>
    <font>
      <sz val="11"/>
      <color rgb="FF006100"/>
      <name val="Calibri"/>
      <family val="2"/>
      <scheme val="minor"/>
    </font>
    <font>
      <sz val="9"/>
      <name val="Calibri"/>
      <family val="2"/>
      <scheme val="minor"/>
    </font>
    <font>
      <sz val="10"/>
      <name val="Arial"/>
      <family val="2"/>
    </font>
    <font>
      <sz val="8"/>
      <name val="Calibri"/>
      <family val="2"/>
      <scheme val="minor"/>
    </font>
    <font>
      <b/>
      <sz val="11"/>
      <color rgb="FFFF0000"/>
      <name val="Calibri"/>
      <family val="2"/>
      <charset val="186"/>
      <scheme val="minor"/>
    </font>
    <font>
      <b/>
      <sz val="26"/>
      <color theme="1"/>
      <name val="Calibri"/>
      <family val="2"/>
      <scheme val="minor"/>
    </font>
    <font>
      <b/>
      <sz val="18"/>
      <name val="Calibri"/>
      <family val="2"/>
      <scheme val="minor"/>
    </font>
    <font>
      <sz val="10"/>
      <color theme="1"/>
      <name val="Calibri"/>
      <family val="2"/>
      <scheme val="minor"/>
    </font>
    <font>
      <b/>
      <sz val="11"/>
      <name val="Calibri"/>
      <family val="2"/>
      <charset val="186"/>
      <scheme val="minor"/>
    </font>
    <font>
      <sz val="11"/>
      <color theme="1"/>
      <name val="Calibri"/>
      <family val="2"/>
      <charset val="186"/>
    </font>
    <font>
      <b/>
      <sz val="11"/>
      <name val="Calibri"/>
      <family val="2"/>
      <scheme val="minor"/>
    </font>
  </fonts>
  <fills count="13">
    <fill>
      <patternFill patternType="none"/>
    </fill>
    <fill>
      <patternFill patternType="gray125"/>
    </fill>
    <fill>
      <patternFill patternType="solid">
        <fgColor rgb="FFA9D08E"/>
        <bgColor indexed="64"/>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C6EFCE"/>
      </patternFill>
    </fill>
    <fill>
      <patternFill patternType="solid">
        <fgColor theme="9" tint="0.59999389629810485"/>
        <bgColor indexed="64"/>
      </patternFill>
    </fill>
    <fill>
      <patternFill patternType="solid">
        <fgColor theme="8" tint="0.79998168889431442"/>
        <bgColor indexed="65"/>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0" applyNumberFormat="0" applyBorder="0" applyAlignment="0" applyProtection="0"/>
    <xf numFmtId="0" fontId="4" fillId="8" borderId="0" applyNumberFormat="0" applyBorder="0" applyAlignment="0" applyProtection="0"/>
    <xf numFmtId="1" fontId="13" fillId="9" borderId="0"/>
  </cellStyleXfs>
  <cellXfs count="214">
    <xf numFmtId="0" fontId="0" fillId="0" borderId="0" xfId="0"/>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3" fontId="2" fillId="2" borderId="1" xfId="1"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3" fontId="2" fillId="2" borderId="13" xfId="1" applyNumberFormat="1"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15" xfId="0" applyBorder="1" applyAlignment="1">
      <alignment horizontal="center" vertical="center" wrapText="1"/>
    </xf>
    <xf numFmtId="0" fontId="0" fillId="0" borderId="15" xfId="0" applyBorder="1" applyAlignment="1">
      <alignment horizontal="center" vertical="center"/>
    </xf>
    <xf numFmtId="9" fontId="0" fillId="0" borderId="1" xfId="0" applyNumberFormat="1" applyBorder="1" applyAlignment="1">
      <alignment horizontal="center" vertical="center" wrapText="1"/>
    </xf>
    <xf numFmtId="9" fontId="0" fillId="0" borderId="1" xfId="3" applyFont="1" applyBorder="1" applyAlignment="1">
      <alignment horizontal="center" vertical="center"/>
    </xf>
    <xf numFmtId="0" fontId="0" fillId="0" borderId="1" xfId="0" applyBorder="1" applyAlignment="1">
      <alignment vertical="center" wrapText="1"/>
    </xf>
    <xf numFmtId="0" fontId="3" fillId="0" borderId="1" xfId="2" applyBorder="1" applyAlignment="1">
      <alignment horizontal="center" vertical="center" wrapText="1"/>
    </xf>
    <xf numFmtId="2" fontId="0" fillId="0" borderId="1" xfId="0" applyNumberFormat="1"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left" vertical="center" wrapText="1"/>
    </xf>
    <xf numFmtId="165" fontId="0" fillId="0" borderId="1" xfId="0" applyNumberFormat="1" applyBorder="1" applyAlignment="1">
      <alignment horizontal="center" vertical="center" wrapText="1"/>
    </xf>
    <xf numFmtId="3" fontId="7" fillId="0" borderId="1" xfId="0" applyNumberFormat="1" applyFon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165" fontId="0" fillId="0" borderId="17" xfId="0" applyNumberFormat="1" applyBorder="1" applyAlignment="1">
      <alignment horizontal="center" vertical="center"/>
    </xf>
    <xf numFmtId="3" fontId="0" fillId="0" borderId="17" xfId="0" applyNumberForma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166" fontId="0" fillId="0" borderId="1" xfId="0" applyNumberFormat="1" applyBorder="1" applyAlignment="1">
      <alignment horizontal="center" vertical="center"/>
    </xf>
    <xf numFmtId="0" fontId="0" fillId="3" borderId="1" xfId="0" applyFill="1" applyBorder="1" applyAlignment="1">
      <alignment horizontal="center" vertical="center" wrapText="1"/>
    </xf>
    <xf numFmtId="3" fontId="0" fillId="0" borderId="0" xfId="0" applyNumberFormat="1" applyAlignment="1">
      <alignment horizontal="center" vertical="center"/>
    </xf>
    <xf numFmtId="166"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3" fontId="0" fillId="3" borderId="1" xfId="0" applyNumberFormat="1" applyFill="1" applyBorder="1" applyAlignment="1">
      <alignment horizontal="center" vertical="center"/>
    </xf>
    <xf numFmtId="3" fontId="4" fillId="0" borderId="1" xfId="1" applyNumberFormat="1" applyFont="1" applyBorder="1" applyAlignment="1">
      <alignment horizontal="center" vertical="center" wrapText="1"/>
    </xf>
    <xf numFmtId="0" fontId="0" fillId="0" borderId="1" xfId="0" applyBorder="1" applyAlignment="1">
      <alignment wrapText="1"/>
    </xf>
    <xf numFmtId="165" fontId="0" fillId="0" borderId="1" xfId="0" applyNumberForma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7" fillId="0" borderId="1" xfId="0" applyNumberFormat="1" applyFont="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xf>
    <xf numFmtId="0" fontId="2" fillId="0" borderId="19" xfId="0" applyFont="1" applyBorder="1" applyAlignment="1">
      <alignment horizontal="center" vertical="center" wrapText="1"/>
    </xf>
    <xf numFmtId="0" fontId="2" fillId="2" borderId="15" xfId="0" applyFont="1" applyFill="1" applyBorder="1" applyAlignment="1">
      <alignment horizontal="center" vertical="center" wrapText="1"/>
    </xf>
    <xf numFmtId="0" fontId="0" fillId="0" borderId="21" xfId="0" applyBorder="1" applyAlignment="1">
      <alignment horizontal="center" vertical="center" wrapText="1"/>
    </xf>
    <xf numFmtId="0" fontId="11" fillId="5" borderId="1" xfId="5" applyBorder="1" applyAlignment="1">
      <alignment horizontal="center" vertical="center" wrapText="1"/>
    </xf>
    <xf numFmtId="165" fontId="11" fillId="5" borderId="1" xfId="5" applyNumberFormat="1" applyBorder="1" applyAlignment="1">
      <alignment horizontal="center" vertical="center"/>
    </xf>
    <xf numFmtId="0" fontId="12" fillId="6" borderId="6" xfId="6" applyBorder="1" applyAlignment="1">
      <alignment horizontal="center" vertical="center" wrapText="1"/>
    </xf>
    <xf numFmtId="0" fontId="11" fillId="5" borderId="1" xfId="5" applyBorder="1" applyAlignment="1">
      <alignment horizontal="center" vertical="center"/>
    </xf>
    <xf numFmtId="0" fontId="0" fillId="0" borderId="1" xfId="0" applyBorder="1" applyAlignment="1">
      <alignment horizontal="center" vertical="center"/>
    </xf>
    <xf numFmtId="3" fontId="11" fillId="5" borderId="1" xfId="5" applyNumberFormat="1" applyBorder="1" applyAlignment="1">
      <alignment horizontal="center" vertical="center" wrapText="1"/>
    </xf>
    <xf numFmtId="0" fontId="11" fillId="5" borderId="6" xfId="5" applyBorder="1" applyAlignment="1">
      <alignment horizontal="center" vertical="center" wrapText="1"/>
    </xf>
    <xf numFmtId="0" fontId="10" fillId="4" borderId="20" xfId="4" applyBorder="1" applyAlignment="1">
      <alignment horizontal="center" vertical="center" wrapText="1"/>
    </xf>
    <xf numFmtId="3" fontId="10" fillId="4" borderId="1" xfId="4" applyNumberFormat="1" applyBorder="1" applyAlignment="1">
      <alignment horizontal="center" vertical="center"/>
    </xf>
    <xf numFmtId="0" fontId="7" fillId="3" borderId="1" xfId="0" applyFont="1" applyFill="1" applyBorder="1" applyAlignment="1">
      <alignment horizontal="center" vertical="center" wrapText="1"/>
    </xf>
    <xf numFmtId="0" fontId="7" fillId="3" borderId="1" xfId="4" applyFont="1" applyFill="1" applyBorder="1" applyAlignment="1">
      <alignment horizontal="center" vertical="center"/>
    </xf>
    <xf numFmtId="0" fontId="7" fillId="3" borderId="1" xfId="4" applyFont="1" applyFill="1" applyBorder="1" applyAlignment="1">
      <alignment horizontal="center" vertical="center" wrapText="1"/>
    </xf>
    <xf numFmtId="3" fontId="7" fillId="3" borderId="1" xfId="4" applyNumberFormat="1" applyFont="1" applyFill="1" applyBorder="1" applyAlignment="1">
      <alignment horizontal="center" vertical="center"/>
    </xf>
    <xf numFmtId="0" fontId="7" fillId="3" borderId="1" xfId="0" applyFont="1" applyFill="1" applyBorder="1" applyAlignment="1">
      <alignment horizontal="center" vertical="center"/>
    </xf>
    <xf numFmtId="3" fontId="7" fillId="3" borderId="1" xfId="0" applyNumberFormat="1" applyFont="1" applyFill="1" applyBorder="1" applyAlignment="1">
      <alignment horizontal="center" vertical="center"/>
    </xf>
    <xf numFmtId="1" fontId="0" fillId="9" borderId="1" xfId="0" applyNumberFormat="1" applyFill="1" applyBorder="1" applyAlignment="1">
      <alignment horizontal="center" vertical="center"/>
    </xf>
    <xf numFmtId="0" fontId="7" fillId="9" borderId="1" xfId="7" applyFont="1" applyFill="1" applyBorder="1" applyAlignment="1">
      <alignment horizontal="center" vertical="center"/>
    </xf>
    <xf numFmtId="1" fontId="7" fillId="9" borderId="1" xfId="8" applyFont="1" applyBorder="1" applyAlignment="1">
      <alignment horizontal="center" vertical="center"/>
    </xf>
    <xf numFmtId="1" fontId="7" fillId="9" borderId="1" xfId="4" applyNumberFormat="1" applyFont="1" applyFill="1" applyBorder="1" applyAlignment="1">
      <alignment horizontal="center" vertical="center"/>
    </xf>
    <xf numFmtId="0" fontId="7" fillId="9" borderId="1" xfId="4" applyFont="1" applyFill="1" applyBorder="1" applyAlignment="1">
      <alignment horizontal="center" vertical="center"/>
    </xf>
    <xf numFmtId="1" fontId="14" fillId="9" borderId="1" xfId="0" applyNumberFormat="1" applyFont="1" applyFill="1" applyBorder="1" applyAlignment="1">
      <alignment horizontal="center" vertical="center"/>
    </xf>
    <xf numFmtId="0" fontId="4" fillId="9" borderId="1" xfId="7" applyFill="1" applyBorder="1" applyAlignment="1">
      <alignment horizontal="center" vertical="center"/>
    </xf>
    <xf numFmtId="0" fontId="12" fillId="6" borderId="4" xfId="6" applyBorder="1" applyAlignment="1">
      <alignment horizontal="center" vertical="center"/>
    </xf>
    <xf numFmtId="0" fontId="7" fillId="3" borderId="16" xfId="0" applyFont="1" applyFill="1" applyBorder="1" applyAlignment="1">
      <alignment horizontal="center" vertical="center" wrapText="1"/>
    </xf>
    <xf numFmtId="0" fontId="12" fillId="10" borderId="22" xfId="6" applyFill="1" applyBorder="1" applyAlignment="1">
      <alignment horizontal="center" vertical="center"/>
    </xf>
    <xf numFmtId="0" fontId="12" fillId="10" borderId="24" xfId="6" applyFill="1" applyBorder="1" applyAlignment="1">
      <alignment horizontal="center" vertical="center"/>
    </xf>
    <xf numFmtId="165" fontId="7" fillId="3" borderId="1" xfId="4" applyNumberFormat="1" applyFont="1" applyFill="1" applyBorder="1" applyAlignment="1">
      <alignment horizontal="center" vertical="center"/>
    </xf>
    <xf numFmtId="3" fontId="7" fillId="3" borderId="1" xfId="4" applyNumberFormat="1" applyFont="1" applyFill="1" applyBorder="1" applyAlignment="1">
      <alignment horizontal="center" vertical="center" wrapText="1"/>
    </xf>
    <xf numFmtId="0" fontId="0" fillId="7" borderId="1" xfId="0" applyFill="1" applyBorder="1" applyAlignment="1">
      <alignment horizontal="center" vertical="center"/>
    </xf>
    <xf numFmtId="0" fontId="7" fillId="7" borderId="1" xfId="4" applyFont="1" applyFill="1" applyBorder="1" applyAlignment="1">
      <alignment horizontal="center" vertical="center"/>
    </xf>
    <xf numFmtId="0" fontId="4" fillId="7" borderId="1" xfId="4" applyFont="1" applyFill="1" applyBorder="1" applyAlignment="1">
      <alignment horizontal="center" vertical="center"/>
    </xf>
    <xf numFmtId="3" fontId="7" fillId="7" borderId="1" xfId="6" applyNumberFormat="1" applyFont="1" applyFill="1" applyBorder="1" applyAlignment="1">
      <alignment horizontal="center" vertical="center"/>
    </xf>
    <xf numFmtId="0" fontId="0" fillId="7" borderId="16" xfId="0" applyFill="1" applyBorder="1" applyAlignment="1">
      <alignment horizontal="center" vertical="center"/>
    </xf>
    <xf numFmtId="0" fontId="7" fillId="7" borderId="16" xfId="4" applyFont="1" applyFill="1" applyBorder="1" applyAlignment="1">
      <alignment horizontal="center" vertical="center"/>
    </xf>
    <xf numFmtId="0" fontId="0" fillId="2" borderId="1" xfId="0" applyFill="1" applyBorder="1" applyAlignment="1">
      <alignment horizontal="center" vertical="center" wrapText="1"/>
    </xf>
    <xf numFmtId="0" fontId="12" fillId="10" borderId="25" xfId="6" applyFill="1" applyBorder="1" applyAlignment="1">
      <alignment horizontal="center" vertical="center"/>
    </xf>
    <xf numFmtId="0" fontId="0" fillId="0" borderId="6" xfId="0" applyBorder="1" applyAlignment="1">
      <alignment horizontal="center" vertical="center"/>
    </xf>
    <xf numFmtId="3" fontId="0" fillId="0" borderId="1" xfId="0" applyNumberFormat="1" applyBorder="1" applyAlignment="1">
      <alignment horizontal="center" vertical="center" wrapText="1"/>
    </xf>
    <xf numFmtId="3" fontId="0" fillId="0" borderId="4" xfId="0" applyNumberFormat="1" applyBorder="1" applyAlignment="1">
      <alignment horizontal="center" vertical="center"/>
    </xf>
    <xf numFmtId="3" fontId="0" fillId="0" borderId="1" xfId="3" applyNumberFormat="1" applyFont="1" applyBorder="1" applyAlignment="1">
      <alignment horizontal="center" vertical="center"/>
    </xf>
    <xf numFmtId="0" fontId="7" fillId="3" borderId="1" xfId="4" applyNumberFormat="1" applyFont="1" applyFill="1" applyBorder="1" applyAlignment="1">
      <alignment horizontal="center" vertical="center" wrapText="1"/>
    </xf>
    <xf numFmtId="0" fontId="16" fillId="0" borderId="1" xfId="0" applyFon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10" fillId="4" borderId="6" xfId="4"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2" fontId="7" fillId="3" borderId="1" xfId="0" applyNumberFormat="1" applyFont="1" applyFill="1" applyBorder="1" applyAlignment="1">
      <alignment horizontal="center" vertical="center" wrapText="1"/>
    </xf>
    <xf numFmtId="0" fontId="11" fillId="5" borderId="13" xfId="5" applyNumberFormat="1" applyBorder="1" applyAlignment="1">
      <alignment horizontal="center" vertical="center" wrapText="1"/>
    </xf>
    <xf numFmtId="0" fontId="7" fillId="0" borderId="16" xfId="0" applyFont="1" applyBorder="1" applyAlignment="1">
      <alignment horizontal="center" vertical="center"/>
    </xf>
    <xf numFmtId="3" fontId="7" fillId="0" borderId="1" xfId="0" applyNumberFormat="1" applyFont="1" applyBorder="1" applyAlignment="1">
      <alignment horizontal="center" vertical="center" wrapText="1"/>
    </xf>
    <xf numFmtId="0" fontId="0" fillId="0" borderId="16" xfId="0" applyBorder="1" applyAlignment="1">
      <alignment vertical="center"/>
    </xf>
    <xf numFmtId="2" fontId="0" fillId="0" borderId="1" xfId="0" applyNumberFormat="1" applyBorder="1" applyAlignment="1">
      <alignment horizontal="center" vertical="center" wrapText="1"/>
    </xf>
    <xf numFmtId="0" fontId="0" fillId="0" borderId="1" xfId="0" applyBorder="1" applyAlignment="1">
      <alignment vertical="center"/>
    </xf>
    <xf numFmtId="0" fontId="7" fillId="7" borderId="1" xfId="6" applyFont="1" applyFill="1" applyBorder="1" applyAlignment="1">
      <alignment horizontal="center" vertical="center"/>
    </xf>
    <xf numFmtId="0" fontId="6" fillId="0" borderId="1" xfId="0" applyFont="1" applyBorder="1" applyAlignment="1">
      <alignment horizontal="left" vertical="center" wrapText="1"/>
    </xf>
    <xf numFmtId="0" fontId="7" fillId="3" borderId="16" xfId="0" applyFont="1" applyFill="1" applyBorder="1" applyAlignment="1">
      <alignment horizontal="center" vertical="center"/>
    </xf>
    <xf numFmtId="0" fontId="0" fillId="7" borderId="13" xfId="0" applyFill="1" applyBorder="1" applyAlignment="1">
      <alignment horizontal="center" vertical="center"/>
    </xf>
    <xf numFmtId="0" fontId="0" fillId="11" borderId="1" xfId="0" applyFill="1" applyBorder="1" applyAlignment="1">
      <alignment horizontal="center" vertical="center"/>
    </xf>
    <xf numFmtId="0" fontId="12" fillId="6" borderId="23" xfId="6" applyBorder="1" applyAlignment="1">
      <alignment horizontal="center" vertical="center"/>
    </xf>
    <xf numFmtId="0" fontId="12" fillId="10" borderId="1" xfId="6" applyFill="1" applyBorder="1" applyAlignment="1">
      <alignment horizontal="center" vertical="center"/>
    </xf>
    <xf numFmtId="165" fontId="7" fillId="3" borderId="1" xfId="0" applyNumberFormat="1" applyFont="1" applyFill="1" applyBorder="1" applyAlignment="1">
      <alignment horizontal="center" vertical="center"/>
    </xf>
    <xf numFmtId="0" fontId="0" fillId="0" borderId="13" xfId="0" applyBorder="1" applyAlignment="1">
      <alignment horizontal="center" vertical="center" wrapText="1"/>
    </xf>
    <xf numFmtId="2" fontId="7" fillId="3" borderId="1" xfId="0" applyNumberFormat="1" applyFont="1" applyFill="1" applyBorder="1" applyAlignment="1">
      <alignment horizontal="center" vertical="center"/>
    </xf>
    <xf numFmtId="0" fontId="12" fillId="10" borderId="13" xfId="6" applyFill="1" applyBorder="1" applyAlignment="1">
      <alignment horizontal="center" vertical="center"/>
    </xf>
    <xf numFmtId="0" fontId="7" fillId="3" borderId="4" xfId="0" applyFont="1" applyFill="1" applyBorder="1" applyAlignment="1">
      <alignment horizontal="center" vertical="center"/>
    </xf>
    <xf numFmtId="0" fontId="3" fillId="0" borderId="13" xfId="2" applyBorder="1" applyAlignment="1">
      <alignment horizontal="center" vertical="center" wrapText="1"/>
    </xf>
    <xf numFmtId="0" fontId="7" fillId="3" borderId="13" xfId="0" applyFont="1" applyFill="1" applyBorder="1" applyAlignment="1">
      <alignment horizontal="center" vertical="center"/>
    </xf>
    <xf numFmtId="3" fontId="0" fillId="0" borderId="13" xfId="0" applyNumberFormat="1" applyBorder="1" applyAlignment="1">
      <alignment horizontal="center" vertical="center"/>
    </xf>
    <xf numFmtId="0" fontId="11" fillId="5" borderId="1" xfId="5" applyBorder="1" applyAlignment="1">
      <alignment vertical="center" wrapText="1"/>
    </xf>
    <xf numFmtId="0" fontId="7" fillId="3" borderId="1" xfId="4" applyFont="1" applyFill="1" applyBorder="1" applyAlignment="1">
      <alignment horizontal="center" vertical="top" wrapText="1"/>
    </xf>
    <xf numFmtId="0" fontId="12" fillId="6" borderId="1" xfId="6" applyBorder="1" applyAlignment="1">
      <alignment horizontal="center" vertical="center"/>
    </xf>
    <xf numFmtId="0" fontId="12" fillId="6" borderId="13" xfId="6" applyBorder="1" applyAlignment="1">
      <alignment horizontal="center" vertical="center"/>
    </xf>
    <xf numFmtId="0" fontId="10" fillId="4" borderId="1" xfId="4" applyBorder="1" applyAlignment="1">
      <alignment horizontal="center" vertical="center" wrapText="1"/>
    </xf>
    <xf numFmtId="0" fontId="0" fillId="11" borderId="0" xfId="0" applyFill="1" applyAlignment="1">
      <alignment horizontal="center" vertical="center"/>
    </xf>
    <xf numFmtId="0" fontId="7" fillId="3" borderId="1" xfId="5" applyFont="1" applyFill="1" applyBorder="1" applyAlignment="1">
      <alignment horizontal="center" vertical="center" wrapText="1"/>
    </xf>
    <xf numFmtId="165" fontId="7" fillId="3" borderId="1" xfId="5" applyNumberFormat="1" applyFont="1" applyFill="1" applyBorder="1" applyAlignment="1">
      <alignment horizontal="center" vertical="center" wrapText="1"/>
    </xf>
    <xf numFmtId="0" fontId="7" fillId="3" borderId="1" xfId="5" applyFont="1" applyFill="1" applyBorder="1" applyAlignment="1">
      <alignment horizontal="center" vertical="center"/>
    </xf>
    <xf numFmtId="2" fontId="7" fillId="3" borderId="4" xfId="0" applyNumberFormat="1" applyFont="1" applyFill="1" applyBorder="1" applyAlignment="1">
      <alignment horizontal="center" vertical="center"/>
    </xf>
    <xf numFmtId="165" fontId="7" fillId="3" borderId="1" xfId="5" applyNumberFormat="1" applyFont="1" applyFill="1"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165" fontId="7" fillId="3" borderId="13" xfId="0" applyNumberFormat="1" applyFont="1" applyFill="1" applyBorder="1" applyAlignment="1">
      <alignment horizontal="center" vertical="center"/>
    </xf>
    <xf numFmtId="0" fontId="0" fillId="0" borderId="13" xfId="0" applyBorder="1" applyAlignment="1">
      <alignment horizontal="left" vertical="center" wrapText="1"/>
    </xf>
    <xf numFmtId="9" fontId="0" fillId="0" borderId="13" xfId="3" applyFont="1" applyBorder="1" applyAlignment="1">
      <alignment horizontal="center" vertical="center"/>
    </xf>
    <xf numFmtId="3" fontId="0" fillId="0" borderId="13" xfId="3" applyNumberFormat="1" applyFont="1" applyBorder="1" applyAlignment="1">
      <alignment horizontal="center" vertical="center"/>
    </xf>
    <xf numFmtId="0" fontId="10" fillId="4" borderId="19" xfId="4" applyBorder="1" applyAlignment="1">
      <alignment horizontal="center" vertical="center" wrapText="1"/>
    </xf>
    <xf numFmtId="1" fontId="0" fillId="9" borderId="13" xfId="0" applyNumberFormat="1" applyFill="1" applyBorder="1" applyAlignment="1">
      <alignment horizontal="center" vertical="center"/>
    </xf>
    <xf numFmtId="1" fontId="7" fillId="9" borderId="13" xfId="8" applyFont="1"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vertical="center"/>
    </xf>
    <xf numFmtId="0" fontId="0" fillId="0" borderId="4" xfId="0" applyBorder="1" applyAlignment="1">
      <alignment vertical="center" wrapText="1"/>
    </xf>
    <xf numFmtId="165" fontId="7" fillId="3" borderId="4" xfId="5" applyNumberFormat="1" applyFont="1" applyFill="1" applyBorder="1" applyAlignment="1">
      <alignment horizontal="center" vertical="center" wrapText="1"/>
    </xf>
    <xf numFmtId="2" fontId="0" fillId="0" borderId="4" xfId="0" applyNumberFormat="1" applyBorder="1" applyAlignment="1">
      <alignment horizontal="center" vertical="center" wrapText="1"/>
    </xf>
    <xf numFmtId="3" fontId="0" fillId="0" borderId="4" xfId="0" applyNumberFormat="1" applyBorder="1" applyAlignment="1">
      <alignment horizontal="center" vertical="center" wrapText="1"/>
    </xf>
    <xf numFmtId="0" fontId="3" fillId="0" borderId="4" xfId="2" applyBorder="1" applyAlignment="1">
      <alignment horizontal="center" vertical="center" wrapText="1"/>
    </xf>
    <xf numFmtId="1" fontId="0" fillId="9" borderId="4" xfId="0" applyNumberFormat="1" applyFill="1" applyBorder="1" applyAlignment="1">
      <alignment horizontal="center" vertical="center"/>
    </xf>
    <xf numFmtId="1" fontId="7" fillId="9" borderId="4" xfId="8" applyFont="1" applyBorder="1" applyAlignment="1">
      <alignment horizontal="center" vertical="center"/>
    </xf>
    <xf numFmtId="0" fontId="0" fillId="7" borderId="4" xfId="0" applyFill="1" applyBorder="1" applyAlignment="1">
      <alignment horizontal="center" vertical="center"/>
    </xf>
    <xf numFmtId="0" fontId="11" fillId="5" borderId="4" xfId="5" applyBorder="1" applyAlignment="1">
      <alignment vertical="center" wrapText="1"/>
    </xf>
    <xf numFmtId="0" fontId="10" fillId="4" borderId="4" xfId="4" applyBorder="1" applyAlignment="1">
      <alignment horizontal="center" vertical="center"/>
    </xf>
    <xf numFmtId="0" fontId="7" fillId="0" borderId="16" xfId="0" applyFont="1" applyBorder="1" applyAlignment="1">
      <alignment horizontal="center" vertical="center" wrapText="1"/>
    </xf>
    <xf numFmtId="0" fontId="0" fillId="0" borderId="17" xfId="0" applyBorder="1" applyAlignment="1">
      <alignment vertical="center" wrapText="1"/>
    </xf>
    <xf numFmtId="0" fontId="6" fillId="0" borderId="17" xfId="0" applyFont="1" applyBorder="1" applyAlignment="1">
      <alignment vertical="center" wrapText="1"/>
    </xf>
    <xf numFmtId="10" fontId="0" fillId="0" borderId="17" xfId="3" applyNumberFormat="1" applyFont="1" applyBorder="1" applyAlignment="1">
      <alignment vertical="center"/>
    </xf>
    <xf numFmtId="3" fontId="10" fillId="4" borderId="0" xfId="4" applyNumberFormat="1" applyBorder="1" applyAlignment="1">
      <alignment horizontal="center" vertical="center"/>
    </xf>
    <xf numFmtId="3" fontId="10" fillId="4" borderId="17" xfId="4" applyNumberFormat="1" applyBorder="1" applyAlignment="1">
      <alignment vertical="center"/>
    </xf>
    <xf numFmtId="0" fontId="12" fillId="6" borderId="17" xfId="6" applyBorder="1" applyAlignment="1">
      <alignment vertical="center" wrapText="1"/>
    </xf>
    <xf numFmtId="0" fontId="11" fillId="5" borderId="16" xfId="5" applyBorder="1" applyAlignment="1">
      <alignment horizontal="center" vertical="center"/>
    </xf>
    <xf numFmtId="0" fontId="2" fillId="2" borderId="1" xfId="0" applyFont="1" applyFill="1" applyBorder="1" applyAlignment="1">
      <alignment horizontal="center" vertical="center" wrapText="1"/>
    </xf>
    <xf numFmtId="165" fontId="0" fillId="3" borderId="1" xfId="0" applyNumberFormat="1" applyFill="1" applyBorder="1" applyAlignment="1">
      <alignment horizontal="center" vertical="center"/>
    </xf>
    <xf numFmtId="165" fontId="7" fillId="0" borderId="1" xfId="5" applyNumberFormat="1" applyFont="1" applyFill="1" applyBorder="1" applyAlignment="1">
      <alignment horizontal="center" vertical="center"/>
    </xf>
    <xf numFmtId="0" fontId="19" fillId="3" borderId="1" xfId="0" applyFont="1" applyFill="1" applyBorder="1" applyAlignment="1">
      <alignment horizontal="center" vertical="center" wrapText="1"/>
    </xf>
    <xf numFmtId="3" fontId="19" fillId="3" borderId="1" xfId="0" applyNumberFormat="1"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10" fillId="4" borderId="1" xfId="4" applyBorder="1" applyAlignment="1">
      <alignment horizontal="center" vertical="center"/>
    </xf>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xf>
    <xf numFmtId="3" fontId="1" fillId="0" borderId="13" xfId="0" applyNumberFormat="1" applyFont="1" applyBorder="1" applyAlignment="1">
      <alignment horizontal="center" vertical="center"/>
    </xf>
    <xf numFmtId="0" fontId="20" fillId="10" borderId="1" xfId="0" applyFont="1" applyFill="1" applyBorder="1" applyAlignment="1">
      <alignment horizontal="center" vertical="center" wrapText="1"/>
    </xf>
    <xf numFmtId="0" fontId="20" fillId="10" borderId="1" xfId="5" applyNumberFormat="1" applyFont="1" applyFill="1" applyBorder="1" applyAlignment="1">
      <alignment horizontal="center" vertical="center" wrapText="1"/>
    </xf>
    <xf numFmtId="3" fontId="20" fillId="10" borderId="1" xfId="1" applyNumberFormat="1" applyFont="1" applyFill="1" applyBorder="1" applyAlignment="1">
      <alignment horizontal="center" vertical="center" wrapText="1"/>
    </xf>
    <xf numFmtId="0" fontId="0" fillId="0" borderId="0" xfId="0" applyBorder="1" applyAlignment="1">
      <alignment horizontal="center" vertical="center" wrapText="1"/>
    </xf>
    <xf numFmtId="0" fontId="20" fillId="10" borderId="32" xfId="0" applyFont="1" applyFill="1" applyBorder="1" applyAlignment="1">
      <alignment horizontal="center" vertical="center" wrapText="1"/>
    </xf>
    <xf numFmtId="0" fontId="7" fillId="3" borderId="32" xfId="6" applyFont="1" applyFill="1" applyBorder="1" applyAlignment="1">
      <alignment horizontal="center" vertical="center"/>
    </xf>
    <xf numFmtId="0" fontId="0" fillId="0" borderId="32" xfId="0" applyFill="1" applyBorder="1" applyAlignment="1">
      <alignment horizontal="center" vertical="center"/>
    </xf>
    <xf numFmtId="0" fontId="19"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3" borderId="16" xfId="6" applyFont="1" applyFill="1" applyBorder="1" applyAlignment="1">
      <alignment horizontal="center" vertical="center"/>
    </xf>
    <xf numFmtId="0" fontId="7" fillId="0" borderId="16" xfId="6" applyFont="1" applyFill="1" applyBorder="1" applyAlignment="1">
      <alignment horizontal="center" vertical="center"/>
    </xf>
    <xf numFmtId="2" fontId="7" fillId="0" borderId="1" xfId="0" applyNumberFormat="1" applyFont="1" applyBorder="1" applyAlignment="1">
      <alignment horizontal="center" vertical="center"/>
    </xf>
    <xf numFmtId="0" fontId="7" fillId="3" borderId="1" xfId="6" applyFont="1" applyFill="1" applyBorder="1" applyAlignment="1">
      <alignment horizontal="center" vertical="center"/>
    </xf>
    <xf numFmtId="0" fontId="21" fillId="0" borderId="1" xfId="0" applyFont="1" applyBorder="1" applyAlignment="1">
      <alignment horizontal="left" vertical="center" wrapText="1"/>
    </xf>
    <xf numFmtId="0" fontId="7" fillId="0" borderId="0" xfId="6" applyFont="1" applyFill="1" applyBorder="1" applyAlignment="1">
      <alignment horizontal="center" vertical="center"/>
    </xf>
    <xf numFmtId="0" fontId="22" fillId="10" borderId="1" xfId="0" applyFont="1" applyFill="1" applyBorder="1" applyAlignment="1">
      <alignment horizontal="center" vertical="center" wrapText="1"/>
    </xf>
    <xf numFmtId="0" fontId="20" fillId="10" borderId="1" xfId="4" applyFont="1" applyFill="1" applyBorder="1" applyAlignment="1">
      <alignment horizontal="center" vertical="center" wrapText="1"/>
    </xf>
    <xf numFmtId="0" fontId="7" fillId="0" borderId="0" xfId="0" applyFont="1" applyAlignment="1">
      <alignment horizontal="center" vertical="center"/>
    </xf>
    <xf numFmtId="0" fontId="7" fillId="3" borderId="0" xfId="0" applyFont="1" applyFill="1" applyAlignment="1">
      <alignment horizontal="center" vertical="center"/>
    </xf>
    <xf numFmtId="165"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2" fontId="8" fillId="3" borderId="1" xfId="0" applyNumberFormat="1" applyFont="1" applyFill="1" applyBorder="1" applyAlignment="1">
      <alignment horizontal="center" vertical="center"/>
    </xf>
    <xf numFmtId="0" fontId="7" fillId="0" borderId="0" xfId="0" applyFont="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18" fillId="0" borderId="2"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3" fontId="17" fillId="12" borderId="29" xfId="0" applyNumberFormat="1" applyFont="1" applyFill="1" applyBorder="1" applyAlignment="1">
      <alignment horizontal="center" vertical="center" wrapText="1"/>
    </xf>
    <xf numFmtId="0" fontId="17" fillId="12" borderId="30" xfId="0" applyFont="1" applyFill="1" applyBorder="1" applyAlignment="1">
      <alignment horizontal="center" vertical="center" wrapText="1"/>
    </xf>
    <xf numFmtId="0" fontId="17" fillId="12" borderId="31" xfId="0" applyFont="1" applyFill="1" applyBorder="1" applyAlignment="1">
      <alignment horizontal="center" vertical="center" wrapText="1"/>
    </xf>
    <xf numFmtId="0" fontId="3" fillId="0" borderId="1" xfId="2" applyBorder="1" applyAlignment="1">
      <alignment horizontal="center" vertical="center"/>
    </xf>
    <xf numFmtId="3" fontId="3" fillId="0" borderId="1" xfId="2" applyNumberFormat="1" applyBorder="1" applyAlignment="1">
      <alignment horizontal="center" vertical="center"/>
    </xf>
  </cellXfs>
  <cellStyles count="9">
    <cellStyle name="1_LLarvutatud" xfId="8" xr:uid="{664FF62F-1B64-4653-BC5F-D2690904F430}"/>
    <cellStyle name="20% – rõhk5" xfId="7" builtinId="46"/>
    <cellStyle name="Halb" xfId="4" builtinId="27"/>
    <cellStyle name="Hea" xfId="6" builtinId="26"/>
    <cellStyle name="Hüperlink" xfId="2" builtinId="8"/>
    <cellStyle name="Koma" xfId="1" builtinId="3"/>
    <cellStyle name="Neutraalne" xfId="5" builtinId="28"/>
    <cellStyle name="Normaallaad" xfId="0" builtinId="0"/>
    <cellStyle name="Prots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1-05-11T05:19:11.06" personId="{00000000-0000-0000-0000-000000000000}" id="{05E9DC06-6787-4714-832E-A1CD8D58A09C}">
    <text>Kattub taotlusega nr 193</text>
  </threadedComment>
  <threadedComment ref="A4" dT="2021-05-11T05:47:26.28" personId="{00000000-0000-0000-0000-000000000000}" id="{23245F9B-1CE2-4A10-831A-8E1547596F11}">
    <text>Kattub taotlusega nr 32 (osaliselt)</text>
  </threadedComment>
  <threadedComment ref="A5" dT="2021-05-11T05:27:29.62" personId="{00000000-0000-0000-0000-000000000000}" id="{D5C3369F-CD47-4B17-A92C-BF0FAB1BBBF2}">
    <text>Kattub taotlusega nr 178</text>
  </threadedComment>
  <threadedComment ref="H6" dT="2021-05-13T13:07:56.53" personId="{00000000-0000-0000-0000-000000000000}" id="{9C5FF526-33CD-42D3-8974-1171FCB30D9F}">
    <text>Taotluses 0.88</text>
  </threadedComment>
  <threadedComment ref="H6" dT="2021-05-20T13:19:12.64" personId="{00000000-0000-0000-0000-000000000000}" id="{E30B5810-15A8-4670-9C04-A83D049AC44C}" parentId="{9C5FF526-33CD-42D3-8974-1171FCB30D9F}">
    <text>muutsin elaniku arvu vastavalt väärtusele 0.53 ära</text>
  </threadedComment>
  <threadedComment ref="A8" dT="2021-05-11T05:45:22.89" personId="{00000000-0000-0000-0000-000000000000}" id="{3FD9A8A4-2D7F-4013-9AB8-139184B7C519}">
    <text>Kattub taotlusega nr 255</text>
  </threadedComment>
  <threadedComment ref="Q9" dT="2021-07-07T06:45:31.03" personId="{00000000-0000-0000-0000-000000000000}" id="{3900CDB3-871E-4EAB-A108-2850A6C2FCB2}">
    <text>projekt olemas</text>
  </threadedComment>
  <threadedComment ref="V9" dT="2021-05-19T08:50:16.18" personId="{00000000-0000-0000-0000-000000000000}" id="{2A26D328-1FE1-433C-9C30-9D77F54A6952}">
    <text>kirjas on, et vajab ülevaatamist ja uuendamist</text>
  </threadedComment>
  <threadedComment ref="A10" dT="2021-05-11T05:19:48.73" personId="{00000000-0000-0000-0000-000000000000}" id="{9FE2872E-B2BD-435B-9BB1-0C10EA491B0E}">
    <text>Kattub taotlusega nr 194</text>
  </threadedComment>
  <threadedComment ref="A12" dT="2021-05-12T14:00:45.60" personId="{00000000-0000-0000-0000-000000000000}" id="{E203E8F3-63A8-4BD0-9EAB-36E38441047F}">
    <text>kattub osaliselt taotlusega nr 261</text>
  </threadedComment>
  <threadedComment ref="W13" dT="2021-05-06T10:44:37.79" personId="{00000000-0000-0000-0000-000000000000}" id="{BD91CBE3-457A-4820-85B2-94D5C77B417F}">
    <text>Kaasrahastuse % ei tule välja, seepärast ei saa 3 panna</text>
  </threadedComment>
  <threadedComment ref="Q16" dT="2021-07-07T07:12:46.63" personId="{00000000-0000-0000-0000-000000000000}" id="{57061AF7-F72E-4309-A0C0-A9DF92D640A2}">
    <text>ei ole Põltsamaa projekteerimise koosseisus</text>
  </threadedComment>
  <threadedComment ref="A20" dT="2021-05-04T09:46:07.93" personId="{00000000-0000-0000-0000-000000000000}" id="{5710805C-08F9-42E2-8010-73DC39D00E09}">
    <text>Meede käsitleb objektide rahastust, mis ei paikne kavandatud ehitus- ja rekonstrueerimisobjektidel</text>
  </threadedComment>
  <threadedComment ref="O20" dT="2021-05-21T06:36:50.44" personId="{00000000-0000-0000-0000-000000000000}" id="{C6FCCADD-F4B8-4CD0-8A13-870920534F4C}">
    <text>ühes lahtris üks väärtus, teises teine kaasfinantseeringu kohta. Maksumus taotluses teisel kujul esitatud.</text>
  </threadedComment>
  <threadedComment ref="V20" dT="2021-05-20T11:52:11.16" personId="{00000000-0000-0000-0000-000000000000}" id="{E7367A95-2D08-4EAE-8826-435A1EF20065}">
    <text>eelkokkulepe tähendab, et maade küsimused siiski pole veel lahendatud?</text>
  </threadedComment>
  <threadedComment ref="A21" dT="2021-05-11T05:28:15.91" personId="{00000000-0000-0000-0000-000000000000}" id="{4FF9AF39-BBE3-4C11-8BA0-6558A6EFEA9E}">
    <text>Kattub taotlusega nr 260</text>
  </threadedComment>
  <threadedComment ref="V24" dT="2021-05-19T11:19:46.75" personId="{00000000-0000-0000-0000-000000000000}" id="{A232B0A5-130F-4C01-9B95-CDD5AE5CE61C}">
    <text>kirjas on et projekt üle vaadata, seega vb tasub 2 asemel 1 punkt panna?</text>
  </threadedComment>
  <threadedComment ref="O26" dT="2021-06-22T04:38:38.39" personId="{00000000-0000-0000-0000-000000000000}" id="{715D5AC2-90C8-498C-85F5-E4DC5B39B28E}">
    <text>kas võtta taotleja pakutavast summast 20%?</text>
  </threadedComment>
  <threadedComment ref="O26" dT="2021-06-22T05:34:46.25" personId="{00000000-0000-0000-0000-000000000000}" id="{46718B93-315C-48A3-9918-47505F34E40D}" parentId="{715D5AC2-90C8-498C-85F5-E4DC5B39B28E}">
    <text>võiks sellelt summalt, mis ta pakkus</text>
  </threadedComment>
  <threadedComment ref="V26" dT="2021-05-20T11:10:04.33" personId="{00000000-0000-0000-0000-000000000000}" id="{5F951500-6CC0-49C8-9948-C9EDD9D867BF}">
    <text>peab üle küsima, et kas projekteerimistingimused peavad ka valmis projektide puhul olema, et 2p saada.</text>
  </threadedComment>
  <threadedComment ref="A27" dT="2021-05-07T11:21:05.83" personId="{00000000-0000-0000-0000-000000000000}" id="{56DFC779-D430-421B-85B0-CBB4B9B49D87}">
    <text>Põltsamaa ümbersõidu projekteerimise koosseisus</text>
  </threadedComment>
  <threadedComment ref="Q27" dT="2021-07-07T07:06:51.86" personId="{00000000-0000-0000-0000-000000000000}" id="{22602AFA-8BDA-46D4-A3FE-5F649AC39298}">
    <text>ei ole Põltsamaa projekteerimise koosseisus</text>
  </threadedComment>
  <threadedComment ref="A31" dT="2021-05-04T09:41:10.33" personId="{00000000-0000-0000-0000-000000000000}" id="{7C083CBE-A2CB-4E92-B480-E6EA8769459B}">
    <text>Meede käsitleb objektide rahastust, mis ei paikne kavandatud ehitus- ja rekonstrueerimisobjektidel</text>
  </threadedComment>
  <threadedComment ref="A37" dT="2021-05-12T14:18:42.48" personId="{00000000-0000-0000-0000-000000000000}" id="{DD1D1C66-9FC7-41C3-ACB0-1A3349EC6313}">
    <text>kattub taotlusega nr 28</text>
  </threadedComment>
  <threadedComment ref="A38" dT="2021-05-11T05:46:35.94" personId="{00000000-0000-0000-0000-000000000000}" id="{7458DC6A-726F-4CF5-9B55-081CEF9BDEDD}">
    <text>Kattub taotlusega nr 38</text>
  </threadedComment>
  <threadedComment ref="A39" dT="2021-05-12T14:00:58.27" personId="{00000000-0000-0000-0000-000000000000}" id="{92C48910-6773-44FE-9262-909D8A7E1918}">
    <text>kattub osaliselt taotlusega nr 49</text>
  </threadedComment>
  <threadedComment ref="A40" dT="2021-05-12T13:43:40.84" personId="{00000000-0000-0000-0000-000000000000}" id="{3FF54B92-23BA-43BF-96B8-36A350B47452}">
    <text>Kattub taotlusega nr 130</text>
  </threadedComment>
  <threadedComment ref="A41" dT="2021-05-12T13:36:21.15" personId="{00000000-0000-0000-0000-000000000000}" id="{8C7B8945-E635-4127-82C6-9C67211017F0}">
    <text>Kattub taotlusega nr 151</text>
  </threadedComment>
  <threadedComment ref="A42" dT="2021-05-12T13:56:15.17" personId="{00000000-0000-0000-0000-000000000000}" id="{048EAC86-E839-4106-A0C4-3D18DB7E7509}">
    <text>kattub taotlusega nr 136</text>
  </threadedComment>
  <threadedComment ref="L42" dT="2021-04-06T06:06:27.75" personId="{00000000-0000-0000-0000-000000000000}" id="{F498855E-682B-44B3-822B-3B6A7E1CCA15}">
    <text>saatis Jaan Tarmak</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1-05-12T17:37:47.98" personId="{00000000-0000-0000-0000-000000000000}" id="{02154A96-EF77-4256-BFFD-0F6112DE6C30}">
    <text>projekt on Nurme tee rekonstrueerimise projekti koosseisus</text>
  </threadedComment>
  <threadedComment ref="A10" dT="2021-06-14T08:24:48.39" personId="{00000000-0000-0000-0000-000000000000}" id="{DB469838-FFF6-4818-9FF8-CF3F5A2EA591}">
    <text>taotluse nr 9 alla jääb 5 erinevat peatust (liiklustihedus ja muud andmed erinevad), Sorteerimise tõttu eraldatud eraldi ridadeks.</text>
  </threadedComment>
  <threadedComment ref="A11" dT="2021-06-14T08:25:14.48" personId="{00000000-0000-0000-0000-000000000000}" id="{E69CFD61-D6FA-4CB5-B7E5-37CC261ED75D}">
    <text>taotluse nr 9 alla jääb 5 erinevat peatust (liiklustihedus ja muud andmed erinevad), Sorteerimise tõttu eraldatud eraldi ridadeks.</text>
  </threadedComment>
  <threadedComment ref="A12" dT="2021-06-14T08:25:20.91" personId="{00000000-0000-0000-0000-000000000000}" id="{C134B58E-C818-4124-9D3D-189D0347B227}">
    <text>taotluse nr 9 alla jääb 5 erinevat peatust (liiklustihedus ja muud andmed erinevad), Sorteerimise tõttu eraldatud eraldi ridadeks.</text>
  </threadedComment>
  <threadedComment ref="C18" dT="2021-04-15T13:28:06.87" personId="{00000000-0000-0000-0000-000000000000}" id="{36C41473-7BE5-4E7C-B539-6F4711A0DEA9}">
    <text>Nõos on jalgrataste jaoks parkla olemas (ilma katuseta).</text>
  </threadedComment>
  <threadedComment ref="I21" dT="2021-06-22T06:31:46.53" personId="{00000000-0000-0000-0000-000000000000}" id="{5B5CF72E-D648-471D-B349-41F7540C7FE5}">
    <text>ei ole reaalne</text>
  </threadedComment>
  <threadedComment ref="A22" dT="2021-06-14T08:25:27.27" personId="{00000000-0000-0000-0000-000000000000}" id="{E4E9733B-D6B8-4421-A026-A0136DAFE76C}">
    <text>taotluse nr 9 alla jääb 5 erinevat peatust (liiklustihedus ja muud andmed erinevad), Sorteerimise tõttu eraldatud eraldi ridadeks.</text>
  </threadedComment>
</ThreadedComments>
</file>

<file path=xl/threadedComments/threadedComment3.xml><?xml version="1.0" encoding="utf-8"?>
<ThreadedComments xmlns="http://schemas.microsoft.com/office/spreadsheetml/2018/threadedcomments" xmlns:x="http://schemas.openxmlformats.org/spreadsheetml/2006/main">
  <threadedComment ref="A9" dT="2021-05-12T17:37:47.98" personId="{00000000-0000-0000-0000-000000000000}" id="{C26FFB63-7ACD-4BBE-B1F5-7BF3DED23311}">
    <text>projekt on Nurme tee rekonstrueerimise projekti koosseisus</text>
  </threadedComment>
  <threadedComment ref="A10" dT="2021-06-14T08:24:48.39" personId="{00000000-0000-0000-0000-000000000000}" id="{72D26762-7B8E-437C-BF83-C6F8FC6C71D3}">
    <text>taotluse nr 9 alla jääb 5 erinevat peatust (liiklustihedus ja muud andmed erinevad), Sorteerimise tõttu eraldatud eraldi ridadeks.</text>
  </threadedComment>
  <threadedComment ref="A11" dT="2021-06-14T08:25:14.48" personId="{00000000-0000-0000-0000-000000000000}" id="{7EF28CB4-8364-449D-9CD3-DFBCA65D20D6}">
    <text>taotluse nr 9 alla jääb 5 erinevat peatust (liiklustihedus ja muud andmed erinevad), Sorteerimise tõttu eraldatud eraldi ridadeks.</text>
  </threadedComment>
  <threadedComment ref="A12" dT="2021-06-14T08:25:20.91" personId="{00000000-0000-0000-0000-000000000000}" id="{67872CD3-97B2-42AA-8E35-2FC69E34C222}">
    <text>taotluse nr 9 alla jääb 5 erinevat peatust (liiklustihedus ja muud andmed erinevad), Sorteerimise tõttu eraldatud eraldi ridadeks.</text>
  </threadedComment>
  <threadedComment ref="C18" dT="2021-04-15T13:28:06.87" personId="{00000000-0000-0000-0000-000000000000}" id="{F2B38742-65F7-46AC-9F60-F2E34B11B1BF}">
    <text>Nõos on jalgrataste jaoks parkla olemas (ilma katuseta).</text>
  </threadedComment>
  <threadedComment ref="I21" dT="2021-06-22T06:31:46.53" personId="{00000000-0000-0000-0000-000000000000}" id="{9DDAC724-FE0A-4104-BC94-D725FE1B4DA9}">
    <text>ei ole reaalne</text>
  </threadedComment>
  <threadedComment ref="A22" dT="2021-06-14T08:25:27.27" personId="{00000000-0000-0000-0000-000000000000}" id="{8CA6DE88-12FF-408E-A396-E263DA2D34DC}">
    <text>taotluse nr 9 alla jääb 5 erinevat peatust (liiklustihedus ja muud andmed erinevad), Sorteerimise tõttu eraldatud eraldi ridadeks.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joelahtme.kovtp.ee/documents/381171/4204831/O-163+Tallinna+linnapiirkonna+j%C3%A4tkusuutliku+arengu+strateegia+heakskiitmine+lisa.pdf/c58bf464-d7bf-48cd-892c-95b2b0b898fd"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DFFC-4526-49C4-91F8-C523D62637CE}">
  <dimension ref="A1:AE42"/>
  <sheetViews>
    <sheetView topLeftCell="A6" zoomScale="80" zoomScaleNormal="80" workbookViewId="0">
      <selection activeCell="AE8" sqref="AE8"/>
    </sheetView>
  </sheetViews>
  <sheetFormatPr defaultColWidth="9.109375" defaultRowHeight="14.4" x14ac:dyDescent="0.3"/>
  <cols>
    <col min="1" max="1" width="4.6640625" style="2" bestFit="1" customWidth="1"/>
    <col min="2" max="2" width="16.6640625" style="3" hidden="1" customWidth="1"/>
    <col min="3" max="3" width="22.33203125" style="3" hidden="1" customWidth="1"/>
    <col min="4" max="4" width="42.6640625" style="3" hidden="1" customWidth="1"/>
    <col min="5" max="5" width="26.6640625" style="3" hidden="1" customWidth="1"/>
    <col min="6" max="6" width="11.33203125" style="2" hidden="1" customWidth="1"/>
    <col min="7" max="7" width="10.6640625" style="2" hidden="1" customWidth="1"/>
    <col min="8" max="9" width="10.109375" style="2" hidden="1" customWidth="1"/>
    <col min="10" max="11" width="19.109375" style="2" hidden="1" customWidth="1"/>
    <col min="12" max="12" width="13.88671875" style="3" hidden="1" customWidth="1"/>
    <col min="13" max="13" width="16" style="3" hidden="1" customWidth="1"/>
    <col min="14" max="14" width="16" style="2" hidden="1" customWidth="1"/>
    <col min="15" max="15" width="13.88671875" style="2" hidden="1" customWidth="1"/>
    <col min="16" max="16" width="26.6640625" style="3" hidden="1" customWidth="1"/>
    <col min="17" max="17" width="20.33203125" style="3" hidden="1" customWidth="1"/>
    <col min="18" max="18" width="26.6640625" style="3" hidden="1" customWidth="1"/>
    <col min="19" max="27" width="0" style="2" hidden="1" customWidth="1"/>
    <col min="28" max="28" width="11.5546875" style="2" customWidth="1"/>
    <col min="29" max="29" width="20.5546875" style="3" hidden="1" customWidth="1"/>
    <col min="30" max="30" width="16.6640625" style="2" customWidth="1"/>
    <col min="31" max="31" width="9.88671875" style="2" bestFit="1" customWidth="1"/>
    <col min="32" max="16384" width="9.109375" style="2"/>
  </cols>
  <sheetData>
    <row r="1" spans="1:31" x14ac:dyDescent="0.3">
      <c r="C1" s="8" t="s">
        <v>0</v>
      </c>
      <c r="F1" s="197" t="s">
        <v>1</v>
      </c>
      <c r="G1" s="197"/>
      <c r="H1" s="197"/>
      <c r="I1" s="166"/>
      <c r="S1" s="198" t="s">
        <v>2</v>
      </c>
      <c r="T1" s="198"/>
      <c r="U1" s="199" t="s">
        <v>3</v>
      </c>
      <c r="V1" s="200"/>
      <c r="W1" s="200"/>
      <c r="X1" s="200"/>
      <c r="Y1" s="200"/>
      <c r="Z1" s="200"/>
      <c r="AA1" s="200"/>
      <c r="AB1" s="166" t="s">
        <v>4</v>
      </c>
    </row>
    <row r="2" spans="1:31" ht="86.4" x14ac:dyDescent="0.3">
      <c r="A2" s="9" t="s">
        <v>5</v>
      </c>
      <c r="B2" s="9" t="s">
        <v>6</v>
      </c>
      <c r="C2" s="10" t="s">
        <v>7</v>
      </c>
      <c r="D2" s="9" t="s">
        <v>8</v>
      </c>
      <c r="E2" s="9" t="s">
        <v>9</v>
      </c>
      <c r="F2" s="11" t="s">
        <v>10</v>
      </c>
      <c r="G2" s="11" t="s">
        <v>11</v>
      </c>
      <c r="H2" s="11" t="s">
        <v>12</v>
      </c>
      <c r="I2" s="98" t="s">
        <v>13</v>
      </c>
      <c r="J2" s="12" t="s">
        <v>14</v>
      </c>
      <c r="K2" s="55" t="s">
        <v>15</v>
      </c>
      <c r="L2" s="9" t="s">
        <v>16</v>
      </c>
      <c r="M2" s="9" t="s">
        <v>17</v>
      </c>
      <c r="N2" s="12" t="s">
        <v>18</v>
      </c>
      <c r="O2" s="55" t="s">
        <v>19</v>
      </c>
      <c r="P2" s="9" t="s">
        <v>20</v>
      </c>
      <c r="Q2" s="47" t="s">
        <v>21</v>
      </c>
      <c r="R2" s="12" t="s">
        <v>22</v>
      </c>
      <c r="S2" s="13" t="s">
        <v>23</v>
      </c>
      <c r="T2" s="13" t="s">
        <v>24</v>
      </c>
      <c r="U2" s="14" t="s">
        <v>25</v>
      </c>
      <c r="V2" s="14" t="s">
        <v>26</v>
      </c>
      <c r="W2" s="14" t="s">
        <v>27</v>
      </c>
      <c r="X2" s="15" t="s">
        <v>28</v>
      </c>
      <c r="Y2" s="15" t="s">
        <v>29</v>
      </c>
      <c r="Z2" s="15" t="s">
        <v>30</v>
      </c>
      <c r="AA2" s="15" t="s">
        <v>31</v>
      </c>
      <c r="AB2" s="16" t="s">
        <v>4</v>
      </c>
      <c r="AC2" s="93" t="s">
        <v>32</v>
      </c>
      <c r="AD2" s="93" t="s">
        <v>33</v>
      </c>
    </row>
    <row r="3" spans="1:31" ht="72" x14ac:dyDescent="0.3">
      <c r="A3" s="110">
        <v>151</v>
      </c>
      <c r="B3" s="93" t="s">
        <v>34</v>
      </c>
      <c r="C3" s="93" t="s">
        <v>35</v>
      </c>
      <c r="D3" s="93" t="s">
        <v>36</v>
      </c>
      <c r="E3" s="93" t="s">
        <v>37</v>
      </c>
      <c r="F3" s="54">
        <v>38</v>
      </c>
      <c r="G3" s="40">
        <v>3.7</v>
      </c>
      <c r="H3" s="40">
        <v>7.6</v>
      </c>
      <c r="I3" s="21">
        <f t="shared" ref="I3:I32" si="0">H3-G3</f>
        <v>3.8999999999999995</v>
      </c>
      <c r="J3" s="92">
        <v>600000</v>
      </c>
      <c r="K3" s="62">
        <f t="shared" ref="K3:K8" si="1">(I3*220000)/1.2</f>
        <v>714999.99999999988</v>
      </c>
      <c r="L3" s="93" t="s">
        <v>38</v>
      </c>
      <c r="M3" s="93" t="s">
        <v>39</v>
      </c>
      <c r="N3" s="92" t="s">
        <v>39</v>
      </c>
      <c r="O3" s="58">
        <v>0</v>
      </c>
      <c r="P3" s="93" t="s">
        <v>40</v>
      </c>
      <c r="Q3" s="52" t="s">
        <v>41</v>
      </c>
      <c r="R3" s="20" t="str">
        <f t="shared" ref="R3:R32" si="2">HYPERLINK("https://xgis.maaamet.ee/xgis2/page/app/teeregister?searchid=teeotsing&amp;roadid="&amp;F3&amp;"&amp;begin="&amp;G3&amp;"&amp;end="&amp;H3&amp;"","Kaart")</f>
        <v>Kaart</v>
      </c>
      <c r="S3" s="70">
        <v>651.53217678773092</v>
      </c>
      <c r="T3" s="71">
        <v>2587</v>
      </c>
      <c r="U3" s="83">
        <v>2</v>
      </c>
      <c r="V3" s="53">
        <v>2</v>
      </c>
      <c r="W3" s="78">
        <v>2</v>
      </c>
      <c r="X3" s="54">
        <v>2</v>
      </c>
      <c r="Y3" s="54">
        <v>1</v>
      </c>
      <c r="Z3" s="54">
        <v>2</v>
      </c>
      <c r="AA3" s="86">
        <v>1</v>
      </c>
      <c r="AB3" s="21" t="e">
        <f>S3*T3*(U3*#REF!+V3*#REF!+W3*#REF!+X3*#REF!+Y3*#REF!+Z3*#REF!+AA3*#REF!)/10000000+IF(O3&gt;0,O3/K3,0)</f>
        <v>#REF!</v>
      </c>
      <c r="AC3" s="93" t="s">
        <v>42</v>
      </c>
      <c r="AD3" s="92">
        <f t="shared" ref="AD3:AD32" si="3">K3-O3</f>
        <v>714999.99999999988</v>
      </c>
      <c r="AE3" s="34">
        <f>AD3</f>
        <v>714999.99999999988</v>
      </c>
    </row>
    <row r="4" spans="1:31" ht="153.75" customHeight="1" x14ac:dyDescent="0.3">
      <c r="A4" s="110">
        <v>38</v>
      </c>
      <c r="B4" s="93" t="s">
        <v>43</v>
      </c>
      <c r="C4" s="93" t="s">
        <v>44</v>
      </c>
      <c r="D4" s="93" t="s">
        <v>45</v>
      </c>
      <c r="E4" s="93" t="s">
        <v>46</v>
      </c>
      <c r="F4" s="54">
        <v>22140</v>
      </c>
      <c r="G4" s="40">
        <v>0.5</v>
      </c>
      <c r="H4" s="40">
        <v>3.3</v>
      </c>
      <c r="I4" s="21">
        <f t="shared" si="0"/>
        <v>2.8</v>
      </c>
      <c r="J4" s="92">
        <v>550000</v>
      </c>
      <c r="K4" s="62">
        <f t="shared" si="1"/>
        <v>513333.33333333337</v>
      </c>
      <c r="L4" s="93" t="s">
        <v>47</v>
      </c>
      <c r="M4" s="93" t="s">
        <v>48</v>
      </c>
      <c r="N4" s="92" t="s">
        <v>49</v>
      </c>
      <c r="O4" s="58">
        <v>0</v>
      </c>
      <c r="P4" s="93" t="s">
        <v>50</v>
      </c>
      <c r="Q4" s="52" t="s">
        <v>51</v>
      </c>
      <c r="R4" s="20" t="str">
        <f t="shared" si="2"/>
        <v>Kaart</v>
      </c>
      <c r="S4" s="70">
        <v>306.0480852952499</v>
      </c>
      <c r="T4" s="67">
        <v>4055</v>
      </c>
      <c r="U4" s="82">
        <v>2</v>
      </c>
      <c r="V4" s="53">
        <v>2</v>
      </c>
      <c r="W4" s="78">
        <v>2</v>
      </c>
      <c r="X4" s="54">
        <v>1</v>
      </c>
      <c r="Y4" s="54">
        <v>3</v>
      </c>
      <c r="Z4" s="54">
        <v>3</v>
      </c>
      <c r="AA4" s="86">
        <v>2</v>
      </c>
      <c r="AB4" s="21" t="e">
        <f>S4*T4*(U4*#REF!+V4*#REF!+W4*#REF!+X4*#REF!+Y4*#REF!+Z4*#REF!+AA4*#REF!)/10000000+IF(O4&gt;0,O4/K4,0)</f>
        <v>#REF!</v>
      </c>
      <c r="AC4" s="93" t="s">
        <v>52</v>
      </c>
      <c r="AD4" s="92">
        <f t="shared" si="3"/>
        <v>513333.33333333337</v>
      </c>
      <c r="AE4" s="34">
        <f>AD4+AE3</f>
        <v>1228333.3333333333</v>
      </c>
    </row>
    <row r="5" spans="1:31" ht="409.6" thickBot="1" x14ac:dyDescent="0.35">
      <c r="A5" s="114">
        <v>136</v>
      </c>
      <c r="B5" s="93" t="s">
        <v>53</v>
      </c>
      <c r="C5" s="93" t="s">
        <v>54</v>
      </c>
      <c r="D5" s="93" t="s">
        <v>55</v>
      </c>
      <c r="E5" s="23" t="s">
        <v>56</v>
      </c>
      <c r="F5" s="54">
        <v>11254</v>
      </c>
      <c r="G5" s="40">
        <v>1.6</v>
      </c>
      <c r="H5" s="40">
        <v>2.6</v>
      </c>
      <c r="I5" s="97">
        <f t="shared" si="0"/>
        <v>1</v>
      </c>
      <c r="J5" s="92">
        <v>500000</v>
      </c>
      <c r="K5" s="62">
        <f t="shared" si="1"/>
        <v>183333.33333333334</v>
      </c>
      <c r="L5" s="93" t="s">
        <v>57</v>
      </c>
      <c r="M5" s="93" t="s">
        <v>58</v>
      </c>
      <c r="N5" s="92">
        <v>100000</v>
      </c>
      <c r="O5" s="92">
        <v>100000</v>
      </c>
      <c r="P5" s="93" t="s">
        <v>59</v>
      </c>
      <c r="Q5" s="56" t="s">
        <v>60</v>
      </c>
      <c r="R5" s="20" t="str">
        <f t="shared" si="2"/>
        <v>Kaart</v>
      </c>
      <c r="S5" s="70">
        <v>498.27725964428424</v>
      </c>
      <c r="T5" s="67">
        <v>1826</v>
      </c>
      <c r="U5" s="82">
        <v>1</v>
      </c>
      <c r="V5" s="78">
        <v>1</v>
      </c>
      <c r="W5" s="78">
        <v>2</v>
      </c>
      <c r="X5" s="54">
        <v>1</v>
      </c>
      <c r="Y5" s="54">
        <v>3</v>
      </c>
      <c r="Z5" s="54">
        <v>3</v>
      </c>
      <c r="AA5" s="54">
        <v>3</v>
      </c>
      <c r="AB5" s="21" t="e">
        <f>S5*T5*(U5*#REF!+V5*#REF!+W5*#REF!+X5*#REF!+Y5*#REF!+Z5*#REF!+AA5*#REF!)/10000000+IF(O5&gt;0,O5/K5,0)</f>
        <v>#REF!</v>
      </c>
      <c r="AC5" s="93" t="s">
        <v>61</v>
      </c>
      <c r="AD5" s="92">
        <f t="shared" si="3"/>
        <v>83333.333333333343</v>
      </c>
      <c r="AE5" s="34">
        <f>AD5+AE4</f>
        <v>1311666.6666666665</v>
      </c>
    </row>
    <row r="6" spans="1:31" ht="72.599999999999994" thickBot="1" x14ac:dyDescent="0.35">
      <c r="A6" s="109">
        <v>6</v>
      </c>
      <c r="B6" s="45" t="s">
        <v>62</v>
      </c>
      <c r="C6" s="93" t="s">
        <v>63</v>
      </c>
      <c r="D6" s="93" t="s">
        <v>64</v>
      </c>
      <c r="E6" s="93" t="s">
        <v>65</v>
      </c>
      <c r="F6" s="50">
        <v>11128</v>
      </c>
      <c r="G6" s="54">
        <v>0</v>
      </c>
      <c r="H6" s="32">
        <v>0.53</v>
      </c>
      <c r="I6" s="21">
        <f t="shared" si="0"/>
        <v>0.53</v>
      </c>
      <c r="J6" s="92">
        <v>80000</v>
      </c>
      <c r="K6" s="62">
        <f t="shared" si="1"/>
        <v>97166.666666666672</v>
      </c>
      <c r="L6" s="93" t="s">
        <v>66</v>
      </c>
      <c r="M6" s="17">
        <v>0.5</v>
      </c>
      <c r="N6" s="92">
        <v>40000</v>
      </c>
      <c r="O6" s="92">
        <v>40000</v>
      </c>
      <c r="P6" s="93" t="s">
        <v>67</v>
      </c>
      <c r="Q6" s="52" t="s">
        <v>68</v>
      </c>
      <c r="R6" s="20" t="str">
        <f t="shared" si="2"/>
        <v>Kaart</v>
      </c>
      <c r="S6" s="70">
        <v>1124.425512</v>
      </c>
      <c r="T6" s="67">
        <v>1478</v>
      </c>
      <c r="U6" s="82">
        <v>1</v>
      </c>
      <c r="V6" s="78">
        <v>3</v>
      </c>
      <c r="W6" s="78">
        <v>2</v>
      </c>
      <c r="X6" s="54">
        <v>0</v>
      </c>
      <c r="Y6" s="54">
        <v>1</v>
      </c>
      <c r="Z6" s="54">
        <v>1</v>
      </c>
      <c r="AA6" s="54">
        <v>0</v>
      </c>
      <c r="AB6" s="21" t="e">
        <f>S6*T6*(U6*#REF!+V6*#REF!+W6*#REF!+X6*#REF!+Y6*#REF!+Z6*#REF!+AA6*#REF!)/10000000+IF(O6&gt;0,O6/K6,0)</f>
        <v>#REF!</v>
      </c>
      <c r="AC6" s="93"/>
      <c r="AD6" s="92">
        <f t="shared" si="3"/>
        <v>57166.666666666672</v>
      </c>
      <c r="AE6" s="34">
        <f t="shared" ref="AE6:AE29" si="4">AD6+AE5</f>
        <v>1368833.3333333333</v>
      </c>
    </row>
    <row r="7" spans="1:31" ht="187.2" x14ac:dyDescent="0.3">
      <c r="A7" s="109">
        <v>157</v>
      </c>
      <c r="B7" s="152" t="s">
        <v>69</v>
      </c>
      <c r="C7" s="42" t="s">
        <v>70</v>
      </c>
      <c r="D7" s="42" t="s">
        <v>71</v>
      </c>
      <c r="E7" s="42" t="s">
        <v>72</v>
      </c>
      <c r="F7" s="41">
        <v>11202</v>
      </c>
      <c r="G7" s="43">
        <v>25.3</v>
      </c>
      <c r="H7" s="43">
        <v>26.986999999999998</v>
      </c>
      <c r="I7" s="97">
        <f t="shared" si="0"/>
        <v>1.6869999999999976</v>
      </c>
      <c r="J7" s="25">
        <v>290000</v>
      </c>
      <c r="K7" s="62">
        <f t="shared" si="1"/>
        <v>309283.33333333291</v>
      </c>
      <c r="L7" s="42" t="s">
        <v>73</v>
      </c>
      <c r="M7" s="42" t="s">
        <v>74</v>
      </c>
      <c r="N7" s="25">
        <v>145000</v>
      </c>
      <c r="O7" s="25">
        <v>145000</v>
      </c>
      <c r="P7" s="42" t="s">
        <v>75</v>
      </c>
      <c r="Q7" s="56" t="s">
        <v>76</v>
      </c>
      <c r="R7" s="20" t="str">
        <f t="shared" si="2"/>
        <v>Kaart</v>
      </c>
      <c r="S7" s="70">
        <v>433.66821951578009</v>
      </c>
      <c r="T7" s="67">
        <v>1654</v>
      </c>
      <c r="U7" s="82">
        <v>2</v>
      </c>
      <c r="V7" s="78">
        <v>1</v>
      </c>
      <c r="W7" s="78">
        <v>3</v>
      </c>
      <c r="X7" s="54">
        <v>1</v>
      </c>
      <c r="Y7" s="54">
        <v>2</v>
      </c>
      <c r="Z7" s="54">
        <v>2</v>
      </c>
      <c r="AA7" s="54">
        <v>2</v>
      </c>
      <c r="AB7" s="21" t="e">
        <f>S7*T7*(U7*#REF!+V7*#REF!+W7*#REF!+X7*#REF!+Y7*#REF!+Z7*#REF!+AA7*#REF!)/10000000+IF(O7&gt;0,O7/K7,0)</f>
        <v>#REF!</v>
      </c>
      <c r="AC7" s="93" t="s">
        <v>77</v>
      </c>
      <c r="AD7" s="92">
        <f t="shared" si="3"/>
        <v>164283.33333333291</v>
      </c>
      <c r="AE7" s="34">
        <f t="shared" si="4"/>
        <v>1533116.666666666</v>
      </c>
    </row>
    <row r="8" spans="1:31" ht="58.2" thickBot="1" x14ac:dyDescent="0.35">
      <c r="A8" s="110">
        <v>28</v>
      </c>
      <c r="B8" s="93" t="s">
        <v>78</v>
      </c>
      <c r="C8" s="93" t="s">
        <v>79</v>
      </c>
      <c r="D8" s="93" t="s">
        <v>80</v>
      </c>
      <c r="E8" s="93" t="s">
        <v>81</v>
      </c>
      <c r="F8" s="54">
        <v>22132</v>
      </c>
      <c r="G8" s="40">
        <v>1.6</v>
      </c>
      <c r="H8" s="40">
        <v>5.6</v>
      </c>
      <c r="I8" s="21">
        <f t="shared" si="0"/>
        <v>3.9999999999999996</v>
      </c>
      <c r="J8" s="92">
        <v>800000</v>
      </c>
      <c r="K8" s="62">
        <f t="shared" si="1"/>
        <v>733333.33333333326</v>
      </c>
      <c r="L8" s="93" t="s">
        <v>82</v>
      </c>
      <c r="M8" s="93" t="s">
        <v>83</v>
      </c>
      <c r="N8" s="92"/>
      <c r="O8" s="58">
        <v>0</v>
      </c>
      <c r="P8" s="93" t="s">
        <v>84</v>
      </c>
      <c r="Q8" s="52" t="s">
        <v>85</v>
      </c>
      <c r="R8" s="20" t="str">
        <f t="shared" si="2"/>
        <v>Kaart</v>
      </c>
      <c r="S8" s="70">
        <v>558.62825388227816</v>
      </c>
      <c r="T8" s="67">
        <v>1289</v>
      </c>
      <c r="U8" s="82">
        <v>1</v>
      </c>
      <c r="V8" s="53">
        <v>2</v>
      </c>
      <c r="W8" s="78">
        <v>1</v>
      </c>
      <c r="X8" s="54">
        <v>3</v>
      </c>
      <c r="Y8" s="54">
        <v>3</v>
      </c>
      <c r="Z8" s="54">
        <v>2</v>
      </c>
      <c r="AA8" s="54">
        <v>3</v>
      </c>
      <c r="AB8" s="21" t="e">
        <f>S8*T8*(U8*#REF!+V8*#REF!+W8*#REF!+X8*#REF!+Y8*#REF!+Z8*#REF!+AA8*#REF!)/10000000+IF(O8&gt;0,O8/K8,0)</f>
        <v>#REF!</v>
      </c>
      <c r="AC8" s="93" t="s">
        <v>86</v>
      </c>
      <c r="AD8" s="92">
        <f t="shared" si="3"/>
        <v>733333.33333333326</v>
      </c>
      <c r="AE8" s="34">
        <f t="shared" si="4"/>
        <v>2266449.9999999991</v>
      </c>
    </row>
    <row r="9" spans="1:31" ht="115.2" x14ac:dyDescent="0.3">
      <c r="A9" s="109">
        <v>26</v>
      </c>
      <c r="B9" s="45" t="s">
        <v>87</v>
      </c>
      <c r="C9" s="93" t="s">
        <v>88</v>
      </c>
      <c r="D9" s="93" t="s">
        <v>89</v>
      </c>
      <c r="E9" s="93" t="s">
        <v>90</v>
      </c>
      <c r="F9" s="54">
        <v>15127</v>
      </c>
      <c r="G9" s="40">
        <v>0</v>
      </c>
      <c r="H9" s="40">
        <v>0.3</v>
      </c>
      <c r="I9" s="97">
        <f t="shared" si="0"/>
        <v>0.3</v>
      </c>
      <c r="J9" s="92">
        <v>200000</v>
      </c>
      <c r="K9" s="62">
        <v>200000</v>
      </c>
      <c r="L9" s="93" t="s">
        <v>91</v>
      </c>
      <c r="M9" s="93" t="s">
        <v>92</v>
      </c>
      <c r="N9" s="92" t="s">
        <v>83</v>
      </c>
      <c r="O9" s="58">
        <v>0</v>
      </c>
      <c r="P9" s="93" t="s">
        <v>93</v>
      </c>
      <c r="Q9" s="52" t="s">
        <v>94</v>
      </c>
      <c r="R9" s="20" t="str">
        <f t="shared" si="2"/>
        <v>Kaart</v>
      </c>
      <c r="S9" s="70">
        <v>588.60335305158003</v>
      </c>
      <c r="T9" s="67">
        <v>1035</v>
      </c>
      <c r="U9" s="82">
        <v>2</v>
      </c>
      <c r="V9" s="78">
        <v>3</v>
      </c>
      <c r="W9" s="78">
        <v>2</v>
      </c>
      <c r="X9" s="54">
        <v>3</v>
      </c>
      <c r="Y9" s="54">
        <v>1</v>
      </c>
      <c r="Z9" s="54">
        <v>2</v>
      </c>
      <c r="AA9" s="54">
        <v>2</v>
      </c>
      <c r="AB9" s="21" t="e">
        <f>S9*T9*(U9*#REF!+V9*#REF!+W9*#REF!+X9*#REF!+Y9*#REF!+Z9*#REF!+AA9*#REF!)/10000000+IF(O9&gt;0,O9/K9,0)</f>
        <v>#REF!</v>
      </c>
      <c r="AC9" s="93" t="s">
        <v>95</v>
      </c>
      <c r="AD9" s="92">
        <f t="shared" si="3"/>
        <v>200000</v>
      </c>
      <c r="AE9" s="34">
        <f t="shared" si="4"/>
        <v>2466449.9999999991</v>
      </c>
    </row>
    <row r="10" spans="1:31" ht="172.8" x14ac:dyDescent="0.3">
      <c r="A10" s="110">
        <v>130</v>
      </c>
      <c r="B10" s="93" t="s">
        <v>96</v>
      </c>
      <c r="C10" s="93" t="s">
        <v>97</v>
      </c>
      <c r="D10" s="93" t="s">
        <v>98</v>
      </c>
      <c r="E10" s="42" t="s">
        <v>99</v>
      </c>
      <c r="F10" s="54">
        <v>41</v>
      </c>
      <c r="G10" s="40">
        <v>12.2</v>
      </c>
      <c r="H10" s="54">
        <v>13</v>
      </c>
      <c r="I10" s="21">
        <f t="shared" si="0"/>
        <v>0.80000000000000071</v>
      </c>
      <c r="J10" s="92">
        <v>135000</v>
      </c>
      <c r="K10" s="62">
        <f t="shared" ref="K10:K32" si="5">(I10*220000)/1.2</f>
        <v>146666.6666666668</v>
      </c>
      <c r="L10" s="93" t="s">
        <v>100</v>
      </c>
      <c r="M10" s="93" t="s">
        <v>101</v>
      </c>
      <c r="N10" s="18">
        <v>0.5</v>
      </c>
      <c r="O10" s="89">
        <f>K10*0.5</f>
        <v>73333.333333333401</v>
      </c>
      <c r="P10" s="93" t="s">
        <v>102</v>
      </c>
      <c r="Q10" s="52" t="s">
        <v>103</v>
      </c>
      <c r="R10" s="20" t="str">
        <f t="shared" si="2"/>
        <v>Kaart</v>
      </c>
      <c r="S10" s="70">
        <v>237.44331409337002</v>
      </c>
      <c r="T10" s="71">
        <v>1896</v>
      </c>
      <c r="U10" s="82">
        <v>1</v>
      </c>
      <c r="V10" s="53">
        <v>2</v>
      </c>
      <c r="W10" s="78">
        <v>2</v>
      </c>
      <c r="X10" s="54">
        <v>1</v>
      </c>
      <c r="Y10" s="54">
        <v>2</v>
      </c>
      <c r="Z10" s="54">
        <v>3</v>
      </c>
      <c r="AA10" s="54">
        <v>3</v>
      </c>
      <c r="AB10" s="21" t="e">
        <f>S10*T10*(U10*#REF!+V10*#REF!+W10*#REF!+X10*#REF!+Y10*#REF!+Z10*#REF!+AA10*#REF!)/10000000+IF(O10&gt;0,O10/K10,0)</f>
        <v>#REF!</v>
      </c>
      <c r="AC10" s="93" t="s">
        <v>104</v>
      </c>
      <c r="AD10" s="92">
        <f t="shared" si="3"/>
        <v>73333.333333333401</v>
      </c>
      <c r="AE10" s="34">
        <f t="shared" si="4"/>
        <v>2539783.3333333326</v>
      </c>
    </row>
    <row r="11" spans="1:31" ht="283.5" customHeight="1" x14ac:dyDescent="0.3">
      <c r="A11" s="72">
        <v>16</v>
      </c>
      <c r="B11" s="153" t="s">
        <v>53</v>
      </c>
      <c r="C11" s="154" t="s">
        <v>105</v>
      </c>
      <c r="D11" s="153" t="s">
        <v>106</v>
      </c>
      <c r="E11" s="27" t="s">
        <v>72</v>
      </c>
      <c r="F11" s="26">
        <v>11392</v>
      </c>
      <c r="G11" s="28">
        <v>3.7</v>
      </c>
      <c r="H11" s="28">
        <v>4.7</v>
      </c>
      <c r="I11" s="21">
        <f t="shared" si="0"/>
        <v>1</v>
      </c>
      <c r="J11" s="29">
        <v>300000</v>
      </c>
      <c r="K11" s="62">
        <f t="shared" si="5"/>
        <v>183333.33333333334</v>
      </c>
      <c r="L11" s="27" t="s">
        <v>107</v>
      </c>
      <c r="M11" s="153" t="s">
        <v>108</v>
      </c>
      <c r="N11" s="155">
        <v>0.5</v>
      </c>
      <c r="O11" s="157">
        <f>J11*0.5</f>
        <v>150000</v>
      </c>
      <c r="P11" s="153" t="s">
        <v>109</v>
      </c>
      <c r="Q11" s="158" t="s">
        <v>110</v>
      </c>
      <c r="R11" s="20" t="str">
        <f t="shared" si="2"/>
        <v>Kaart</v>
      </c>
      <c r="S11" s="70">
        <v>431.05685798166854</v>
      </c>
      <c r="T11" s="67">
        <v>546</v>
      </c>
      <c r="U11" s="82">
        <v>1</v>
      </c>
      <c r="V11" s="53">
        <v>2</v>
      </c>
      <c r="W11" s="78">
        <v>3</v>
      </c>
      <c r="X11" s="54">
        <v>1</v>
      </c>
      <c r="Y11" s="54">
        <v>3</v>
      </c>
      <c r="Z11" s="54">
        <v>2</v>
      </c>
      <c r="AA11" s="54">
        <v>3</v>
      </c>
      <c r="AB11" s="21" t="e">
        <f>S11*T11*(U11*#REF!+V11*#REF!+W11*#REF!+X11*#REF!+Y11*#REF!+Z11*#REF!+AA11*#REF!)/10000000+IF(O11&gt;0,O11/K11,0)</f>
        <v>#REF!</v>
      </c>
      <c r="AC11" s="93"/>
      <c r="AD11" s="92">
        <f t="shared" si="3"/>
        <v>33333.333333333343</v>
      </c>
      <c r="AE11" s="34">
        <f t="shared" si="4"/>
        <v>2573116.666666666</v>
      </c>
    </row>
    <row r="12" spans="1:31" ht="86.4" x14ac:dyDescent="0.3">
      <c r="A12" s="110">
        <v>49</v>
      </c>
      <c r="B12" s="93" t="s">
        <v>53</v>
      </c>
      <c r="C12" s="93" t="s">
        <v>111</v>
      </c>
      <c r="D12" s="93" t="s">
        <v>112</v>
      </c>
      <c r="E12" s="93" t="s">
        <v>37</v>
      </c>
      <c r="F12" s="54">
        <v>11395</v>
      </c>
      <c r="G12" s="40">
        <v>0</v>
      </c>
      <c r="H12" s="40">
        <v>3.1</v>
      </c>
      <c r="I12" s="21">
        <f t="shared" si="0"/>
        <v>3.1</v>
      </c>
      <c r="J12" s="87">
        <v>300000</v>
      </c>
      <c r="K12" s="62">
        <f t="shared" si="5"/>
        <v>568333.33333333337</v>
      </c>
      <c r="L12" s="93" t="s">
        <v>113</v>
      </c>
      <c r="M12" s="93"/>
      <c r="N12" s="22">
        <v>0.33</v>
      </c>
      <c r="O12" s="92">
        <f>0.33*K12</f>
        <v>187550.00000000003</v>
      </c>
      <c r="P12" s="93" t="s">
        <v>114</v>
      </c>
      <c r="Q12" s="52" t="s">
        <v>115</v>
      </c>
      <c r="R12" s="20" t="str">
        <f t="shared" si="2"/>
        <v>Kaart</v>
      </c>
      <c r="S12" s="70">
        <v>382.52381441656661</v>
      </c>
      <c r="T12" s="67">
        <v>626</v>
      </c>
      <c r="U12" s="82">
        <v>2</v>
      </c>
      <c r="V12" s="107">
        <v>3</v>
      </c>
      <c r="W12" s="78">
        <v>2</v>
      </c>
      <c r="X12" s="54">
        <v>3</v>
      </c>
      <c r="Y12" s="54">
        <v>3</v>
      </c>
      <c r="Z12" s="54">
        <v>2</v>
      </c>
      <c r="AA12" s="54">
        <v>2</v>
      </c>
      <c r="AB12" s="21" t="e">
        <f>S12*T12*(U12*#REF!+V12*#REF!+W12*#REF!+X12*#REF!+Y12*#REF!+Z12*#REF!+AA12*#REF!)/10000000+IF(O12&gt;0,O12/K12,0)</f>
        <v>#REF!</v>
      </c>
      <c r="AC12" s="93" t="s">
        <v>116</v>
      </c>
      <c r="AD12" s="92">
        <f t="shared" si="3"/>
        <v>380783.33333333337</v>
      </c>
      <c r="AE12" s="34">
        <f t="shared" si="4"/>
        <v>2953899.9999999995</v>
      </c>
    </row>
    <row r="13" spans="1:31" ht="259.2" x14ac:dyDescent="0.3">
      <c r="A13" s="122">
        <v>122</v>
      </c>
      <c r="B13" s="93" t="s">
        <v>43</v>
      </c>
      <c r="C13" s="93" t="s">
        <v>117</v>
      </c>
      <c r="D13" s="93" t="s">
        <v>118</v>
      </c>
      <c r="E13" s="93" t="s">
        <v>119</v>
      </c>
      <c r="F13" s="54">
        <v>22103</v>
      </c>
      <c r="G13" s="40">
        <v>3.2</v>
      </c>
      <c r="H13" s="40">
        <v>5.7</v>
      </c>
      <c r="I13" s="21">
        <f t="shared" si="0"/>
        <v>2.5</v>
      </c>
      <c r="J13" s="92">
        <v>750000</v>
      </c>
      <c r="K13" s="62">
        <f t="shared" si="5"/>
        <v>458333.33333333337</v>
      </c>
      <c r="L13" s="93" t="s">
        <v>120</v>
      </c>
      <c r="M13" s="93" t="s">
        <v>121</v>
      </c>
      <c r="N13" s="92" t="s">
        <v>83</v>
      </c>
      <c r="O13" s="58">
        <v>0</v>
      </c>
      <c r="P13" s="93" t="s">
        <v>122</v>
      </c>
      <c r="Q13" s="52" t="s">
        <v>123</v>
      </c>
      <c r="R13" s="20" t="str">
        <f t="shared" si="2"/>
        <v>Kaart</v>
      </c>
      <c r="S13" s="70">
        <v>254.48094629162992</v>
      </c>
      <c r="T13" s="67">
        <v>1800</v>
      </c>
      <c r="U13" s="82">
        <v>2</v>
      </c>
      <c r="V13" s="53">
        <v>2</v>
      </c>
      <c r="W13" s="78">
        <v>2</v>
      </c>
      <c r="X13" s="54">
        <v>1</v>
      </c>
      <c r="Y13" s="54">
        <v>2</v>
      </c>
      <c r="Z13" s="54">
        <v>2</v>
      </c>
      <c r="AA13" s="54">
        <v>2</v>
      </c>
      <c r="AB13" s="21" t="e">
        <f>S13*T13*(U13*#REF!+V13*#REF!+W13*#REF!+X13*#REF!+Y13*#REF!+Z13*#REF!+AA13*#REF!)/10000000+IF(O13&gt;0,O13/K13,0)</f>
        <v>#REF!</v>
      </c>
      <c r="AC13" s="93"/>
      <c r="AD13" s="92">
        <f t="shared" si="3"/>
        <v>458333.33333333337</v>
      </c>
      <c r="AE13" s="34">
        <f t="shared" si="4"/>
        <v>3412233.333333333</v>
      </c>
    </row>
    <row r="14" spans="1:31" ht="360" x14ac:dyDescent="0.3">
      <c r="A14" s="121">
        <v>66</v>
      </c>
      <c r="B14" s="93" t="s">
        <v>124</v>
      </c>
      <c r="C14" s="93" t="s">
        <v>125</v>
      </c>
      <c r="D14" s="93" t="s">
        <v>126</v>
      </c>
      <c r="E14" s="93" t="s">
        <v>37</v>
      </c>
      <c r="F14" s="54">
        <v>15176</v>
      </c>
      <c r="G14" s="40">
        <v>0.27</v>
      </c>
      <c r="H14" s="40">
        <v>3.1</v>
      </c>
      <c r="I14" s="21">
        <f t="shared" si="0"/>
        <v>2.83</v>
      </c>
      <c r="J14" s="92">
        <v>455000</v>
      </c>
      <c r="K14" s="62">
        <f t="shared" si="5"/>
        <v>518833.33333333337</v>
      </c>
      <c r="L14" s="93" t="s">
        <v>127</v>
      </c>
      <c r="M14" s="93" t="s">
        <v>128</v>
      </c>
      <c r="N14" s="22">
        <v>0.5</v>
      </c>
      <c r="O14" s="92">
        <f>0.5*K14</f>
        <v>259416.66666666669</v>
      </c>
      <c r="P14" s="93" t="s">
        <v>129</v>
      </c>
      <c r="Q14" s="52" t="s">
        <v>130</v>
      </c>
      <c r="R14" s="20" t="str">
        <f t="shared" si="2"/>
        <v>Kaart</v>
      </c>
      <c r="S14" s="70">
        <v>579.98832167041394</v>
      </c>
      <c r="T14" s="67">
        <v>428</v>
      </c>
      <c r="U14" s="82">
        <v>1</v>
      </c>
      <c r="V14" s="53">
        <v>2</v>
      </c>
      <c r="W14" s="78">
        <v>2</v>
      </c>
      <c r="X14" s="54">
        <v>1</v>
      </c>
      <c r="Y14" s="54">
        <v>1</v>
      </c>
      <c r="Z14" s="54">
        <v>2</v>
      </c>
      <c r="AA14" s="54">
        <v>1</v>
      </c>
      <c r="AB14" s="21" t="e">
        <f>S14*T14*(U14*#REF!+V14*#REF!+W14*#REF!+X14*#REF!+Y14*#REF!+Z14*#REF!+AA14*#REF!)/10000000+IF(O14&gt;0,O14/K14,0)</f>
        <v>#REF!</v>
      </c>
      <c r="AC14" s="93"/>
      <c r="AD14" s="92">
        <f t="shared" si="3"/>
        <v>259416.66666666669</v>
      </c>
      <c r="AE14" s="34">
        <f t="shared" si="4"/>
        <v>3671649.9999999995</v>
      </c>
    </row>
    <row r="15" spans="1:31" ht="158.4" x14ac:dyDescent="0.3">
      <c r="A15" s="121">
        <v>87</v>
      </c>
      <c r="B15" s="93" t="s">
        <v>69</v>
      </c>
      <c r="C15" s="3" t="s">
        <v>131</v>
      </c>
      <c r="D15" s="93" t="s">
        <v>132</v>
      </c>
      <c r="E15" s="93" t="s">
        <v>133</v>
      </c>
      <c r="F15" s="54">
        <v>20143</v>
      </c>
      <c r="G15" s="32">
        <v>0.02</v>
      </c>
      <c r="H15" s="32">
        <v>0.77</v>
      </c>
      <c r="I15" s="21">
        <f t="shared" si="0"/>
        <v>0.75</v>
      </c>
      <c r="J15" s="92">
        <v>105000</v>
      </c>
      <c r="K15" s="62">
        <f t="shared" si="5"/>
        <v>137500</v>
      </c>
      <c r="L15" s="93" t="s">
        <v>134</v>
      </c>
      <c r="M15" s="93" t="s">
        <v>135</v>
      </c>
      <c r="N15" s="25">
        <v>50000</v>
      </c>
      <c r="O15" s="25">
        <v>50000</v>
      </c>
      <c r="P15" s="93" t="s">
        <v>136</v>
      </c>
      <c r="Q15" s="52" t="s">
        <v>137</v>
      </c>
      <c r="R15" s="20" t="str">
        <f t="shared" si="2"/>
        <v>Kaart</v>
      </c>
      <c r="S15" s="70">
        <v>172.26113671277972</v>
      </c>
      <c r="T15" s="67">
        <v>1175</v>
      </c>
      <c r="U15" s="82">
        <v>2</v>
      </c>
      <c r="V15" s="53">
        <v>1</v>
      </c>
      <c r="W15" s="78">
        <v>2</v>
      </c>
      <c r="X15" s="54">
        <v>2</v>
      </c>
      <c r="Y15" s="54">
        <v>3</v>
      </c>
      <c r="Z15" s="54">
        <v>2</v>
      </c>
      <c r="AA15" s="54">
        <v>1</v>
      </c>
      <c r="AB15" s="21" t="e">
        <f>S15*T15*(U15*#REF!+V15*#REF!+W15*#REF!+X15*#REF!+Y15*#REF!+Z15*#REF!+AA15*#REF!)/10000000+IF(O15&gt;0,O15/K15,0)</f>
        <v>#REF!</v>
      </c>
      <c r="AC15" s="93"/>
      <c r="AD15" s="92">
        <f t="shared" si="3"/>
        <v>87500</v>
      </c>
      <c r="AE15" s="34">
        <f t="shared" si="4"/>
        <v>3759149.9999999995</v>
      </c>
    </row>
    <row r="16" spans="1:31" ht="72" x14ac:dyDescent="0.3">
      <c r="A16" s="121">
        <v>153</v>
      </c>
      <c r="B16" s="61" t="s">
        <v>34</v>
      </c>
      <c r="C16" s="61" t="s">
        <v>138</v>
      </c>
      <c r="D16" s="61" t="s">
        <v>139</v>
      </c>
      <c r="E16" s="61" t="s">
        <v>37</v>
      </c>
      <c r="F16" s="60">
        <v>38</v>
      </c>
      <c r="G16" s="76">
        <v>0</v>
      </c>
      <c r="H16" s="76">
        <v>2.2999999999999998</v>
      </c>
      <c r="I16" s="97">
        <f t="shared" si="0"/>
        <v>2.2999999999999998</v>
      </c>
      <c r="J16" s="62">
        <v>330000</v>
      </c>
      <c r="K16" s="62">
        <f t="shared" si="5"/>
        <v>421666.66666666663</v>
      </c>
      <c r="L16" s="61" t="s">
        <v>38</v>
      </c>
      <c r="M16" s="61" t="s">
        <v>39</v>
      </c>
      <c r="N16" s="62" t="s">
        <v>39</v>
      </c>
      <c r="O16" s="58">
        <v>0</v>
      </c>
      <c r="P16" s="61" t="s">
        <v>40</v>
      </c>
      <c r="Q16" s="94" t="s">
        <v>140</v>
      </c>
      <c r="R16" s="61" t="str">
        <f t="shared" si="2"/>
        <v>Kaart</v>
      </c>
      <c r="S16" s="68">
        <v>289.14804278621983</v>
      </c>
      <c r="T16" s="69">
        <v>1612</v>
      </c>
      <c r="U16" s="83">
        <v>2</v>
      </c>
      <c r="V16" s="78">
        <v>0</v>
      </c>
      <c r="W16" s="79">
        <v>2</v>
      </c>
      <c r="X16" s="60">
        <v>1</v>
      </c>
      <c r="Y16" s="60">
        <v>1</v>
      </c>
      <c r="Z16" s="60">
        <v>2</v>
      </c>
      <c r="AA16" s="60">
        <v>1</v>
      </c>
      <c r="AB16" s="21" t="e">
        <f>S16*T16*(U16*#REF!+V16*#REF!+W16*#REF!+X16*#REF!+Y16*#REF!+Z16*#REF!+AA16*#REF!)/10000000+IF(O16&gt;0,O16/K16,0)</f>
        <v>#REF!</v>
      </c>
      <c r="AC16" s="93"/>
      <c r="AD16" s="92">
        <f t="shared" si="3"/>
        <v>421666.66666666663</v>
      </c>
      <c r="AE16" s="34">
        <f t="shared" si="4"/>
        <v>4180816.666666666</v>
      </c>
    </row>
    <row r="17" spans="1:31" ht="43.2" x14ac:dyDescent="0.3">
      <c r="A17" s="121">
        <v>102</v>
      </c>
      <c r="B17" s="168" t="s">
        <v>53</v>
      </c>
      <c r="C17" s="168" t="s">
        <v>141</v>
      </c>
      <c r="D17" s="42" t="s">
        <v>142</v>
      </c>
      <c r="E17" s="93" t="s">
        <v>143</v>
      </c>
      <c r="F17" s="54">
        <v>11381</v>
      </c>
      <c r="G17" s="40">
        <v>7.7</v>
      </c>
      <c r="H17" s="40">
        <v>8.3000000000000007</v>
      </c>
      <c r="I17" s="21">
        <f t="shared" si="0"/>
        <v>0.60000000000000053</v>
      </c>
      <c r="J17" s="87">
        <v>119000</v>
      </c>
      <c r="K17" s="62">
        <f t="shared" si="5"/>
        <v>110000.0000000001</v>
      </c>
      <c r="L17" s="93" t="s">
        <v>144</v>
      </c>
      <c r="M17" s="17">
        <v>0.5</v>
      </c>
      <c r="N17" s="92">
        <v>60000</v>
      </c>
      <c r="O17" s="92">
        <v>60000</v>
      </c>
      <c r="P17" s="93" t="s">
        <v>145</v>
      </c>
      <c r="Q17" s="52" t="s">
        <v>146</v>
      </c>
      <c r="R17" s="20" t="str">
        <f t="shared" si="2"/>
        <v>Kaart</v>
      </c>
      <c r="S17" s="70">
        <v>130.72727272736</v>
      </c>
      <c r="T17" s="67">
        <v>820</v>
      </c>
      <c r="U17" s="82">
        <v>1</v>
      </c>
      <c r="V17" s="78">
        <v>3</v>
      </c>
      <c r="W17" s="78">
        <v>2</v>
      </c>
      <c r="X17" s="54">
        <v>2</v>
      </c>
      <c r="Y17" s="54">
        <v>2</v>
      </c>
      <c r="Z17" s="54">
        <v>0</v>
      </c>
      <c r="AA17" s="54">
        <v>1</v>
      </c>
      <c r="AB17" s="21" t="e">
        <f>S17*T17*(U17*#REF!+V17*#REF!+W17*#REF!+X17*#REF!+Y17*#REF!+Z17*#REF!+AA17*#REF!)/10000000+IF(O17&gt;0,O17/K17,0)</f>
        <v>#REF!</v>
      </c>
      <c r="AC17" s="93"/>
      <c r="AD17" s="92">
        <f t="shared" si="3"/>
        <v>50000.000000000102</v>
      </c>
      <c r="AE17" s="34">
        <f t="shared" si="4"/>
        <v>4230816.666666666</v>
      </c>
    </row>
    <row r="18" spans="1:31" ht="72.599999999999994" thickBot="1" x14ac:dyDescent="0.35">
      <c r="A18" s="121">
        <v>159</v>
      </c>
      <c r="B18" s="42" t="s">
        <v>69</v>
      </c>
      <c r="C18" s="42" t="s">
        <v>147</v>
      </c>
      <c r="D18" s="42" t="s">
        <v>148</v>
      </c>
      <c r="E18" s="42" t="s">
        <v>72</v>
      </c>
      <c r="F18" s="41">
        <v>20107</v>
      </c>
      <c r="G18" s="43">
        <v>0</v>
      </c>
      <c r="H18" s="43">
        <v>2.6</v>
      </c>
      <c r="I18" s="21">
        <f t="shared" si="0"/>
        <v>2.6</v>
      </c>
      <c r="J18" s="25">
        <v>450000</v>
      </c>
      <c r="K18" s="62">
        <f t="shared" si="5"/>
        <v>476666.66666666669</v>
      </c>
      <c r="L18" s="42" t="s">
        <v>73</v>
      </c>
      <c r="M18" s="42" t="s">
        <v>74</v>
      </c>
      <c r="N18" s="25">
        <v>225000</v>
      </c>
      <c r="O18" s="25">
        <v>225000</v>
      </c>
      <c r="P18" s="42" t="s">
        <v>149</v>
      </c>
      <c r="Q18" s="52" t="s">
        <v>150</v>
      </c>
      <c r="R18" s="20" t="str">
        <f t="shared" si="2"/>
        <v>Kaart</v>
      </c>
      <c r="S18" s="70">
        <v>103.84012113611604</v>
      </c>
      <c r="T18" s="67">
        <v>601</v>
      </c>
      <c r="U18" s="82">
        <v>2</v>
      </c>
      <c r="V18" s="53">
        <v>2</v>
      </c>
      <c r="W18" s="78">
        <v>3</v>
      </c>
      <c r="X18" s="54">
        <v>1</v>
      </c>
      <c r="Y18" s="54">
        <v>2</v>
      </c>
      <c r="Z18" s="54">
        <v>2</v>
      </c>
      <c r="AA18" s="54">
        <v>3</v>
      </c>
      <c r="AB18" s="21" t="e">
        <f>S18*T18*(U18*#REF!+V18*#REF!+W18*#REF!+X18*#REF!+Y18*#REF!+Z18*#REF!+AA18*#REF!)/10000000+IF(O18&gt;0,O18/K18,0)</f>
        <v>#REF!</v>
      </c>
      <c r="AC18" s="93" t="s">
        <v>151</v>
      </c>
      <c r="AD18" s="92">
        <f t="shared" si="3"/>
        <v>251666.66666666669</v>
      </c>
      <c r="AE18" s="34">
        <f t="shared" si="4"/>
        <v>4482483.333333333</v>
      </c>
    </row>
    <row r="19" spans="1:31" ht="86.4" x14ac:dyDescent="0.3">
      <c r="A19" s="109">
        <v>139</v>
      </c>
      <c r="B19" s="45" t="s">
        <v>152</v>
      </c>
      <c r="C19" s="93" t="s">
        <v>153</v>
      </c>
      <c r="D19" s="93" t="s">
        <v>154</v>
      </c>
      <c r="E19" s="93" t="s">
        <v>37</v>
      </c>
      <c r="F19" s="54">
        <v>20</v>
      </c>
      <c r="G19" s="40">
        <v>26.7</v>
      </c>
      <c r="H19" s="40">
        <v>28.3</v>
      </c>
      <c r="I19" s="21">
        <f t="shared" si="0"/>
        <v>1.6000000000000014</v>
      </c>
      <c r="J19" s="92">
        <v>350000</v>
      </c>
      <c r="K19" s="62">
        <f t="shared" si="5"/>
        <v>293333.3333333336</v>
      </c>
      <c r="L19" s="93" t="s">
        <v>155</v>
      </c>
      <c r="M19" s="93" t="s">
        <v>156</v>
      </c>
      <c r="N19" s="92">
        <v>30000</v>
      </c>
      <c r="O19" s="92">
        <v>30000</v>
      </c>
      <c r="P19" s="93" t="s">
        <v>157</v>
      </c>
      <c r="Q19" s="52" t="s">
        <v>158</v>
      </c>
      <c r="R19" s="20" t="str">
        <f t="shared" si="2"/>
        <v>Kaart</v>
      </c>
      <c r="S19" s="70">
        <v>258.17464114840971</v>
      </c>
      <c r="T19" s="71">
        <v>1051</v>
      </c>
      <c r="U19" s="83">
        <v>1</v>
      </c>
      <c r="V19" s="53">
        <v>2</v>
      </c>
      <c r="W19" s="78">
        <v>2</v>
      </c>
      <c r="X19" s="54">
        <v>2</v>
      </c>
      <c r="Y19" s="54">
        <v>1</v>
      </c>
      <c r="Z19" s="54">
        <v>0</v>
      </c>
      <c r="AA19" s="54">
        <v>2</v>
      </c>
      <c r="AB19" s="21" t="e">
        <f>S19*T19*(U19*#REF!+V19*#REF!+W19*#REF!+X19*#REF!+Y19*#REF!+Z19*#REF!+AA19*#REF!)/10000000+IF(O19&gt;0,O19/K19,0)</f>
        <v>#REF!</v>
      </c>
      <c r="AC19" s="93"/>
      <c r="AD19" s="92">
        <f t="shared" si="3"/>
        <v>263333.3333333336</v>
      </c>
      <c r="AE19" s="34">
        <f t="shared" si="4"/>
        <v>4745816.666666667</v>
      </c>
    </row>
    <row r="20" spans="1:31" ht="409.6" x14ac:dyDescent="0.3">
      <c r="A20" s="167">
        <v>135</v>
      </c>
      <c r="B20" s="61" t="s">
        <v>152</v>
      </c>
      <c r="C20" s="61" t="s">
        <v>159</v>
      </c>
      <c r="D20" s="120" t="s">
        <v>160</v>
      </c>
      <c r="E20" s="61" t="s">
        <v>161</v>
      </c>
      <c r="F20" s="60">
        <v>17191</v>
      </c>
      <c r="G20" s="76">
        <v>2.4</v>
      </c>
      <c r="H20" s="76">
        <v>4.88</v>
      </c>
      <c r="I20" s="21">
        <f t="shared" si="0"/>
        <v>2.48</v>
      </c>
      <c r="J20" s="62">
        <v>530000</v>
      </c>
      <c r="K20" s="62">
        <f t="shared" si="5"/>
        <v>454666.66666666669</v>
      </c>
      <c r="L20" s="61" t="s">
        <v>162</v>
      </c>
      <c r="M20" s="61" t="s">
        <v>163</v>
      </c>
      <c r="N20" s="77" t="s">
        <v>164</v>
      </c>
      <c r="O20" s="90">
        <f>0.25*454667</f>
        <v>113666.75</v>
      </c>
      <c r="P20" s="61" t="s">
        <v>165</v>
      </c>
      <c r="Q20" s="52" t="s">
        <v>166</v>
      </c>
      <c r="R20" s="61" t="str">
        <f t="shared" si="2"/>
        <v>Kaart</v>
      </c>
      <c r="S20" s="70">
        <v>202.96724137921996</v>
      </c>
      <c r="T20" s="70">
        <v>662</v>
      </c>
      <c r="U20" s="83">
        <v>2</v>
      </c>
      <c r="V20" s="53">
        <v>2</v>
      </c>
      <c r="W20" s="79">
        <v>2</v>
      </c>
      <c r="X20" s="60">
        <v>1</v>
      </c>
      <c r="Y20" s="60">
        <v>1</v>
      </c>
      <c r="Z20" s="60">
        <v>2</v>
      </c>
      <c r="AA20" s="60">
        <v>1</v>
      </c>
      <c r="AB20" s="21" t="e">
        <f>S20*T20*(U20*#REF!+V20*#REF!+W20*#REF!+X20*#REF!+Y20*#REF!+Z20*#REF!+AA20*#REF!)/10000000+IF(O20&gt;0,O20/K20,0)</f>
        <v>#REF!</v>
      </c>
      <c r="AC20" s="93" t="s">
        <v>167</v>
      </c>
      <c r="AD20" s="92">
        <f t="shared" si="3"/>
        <v>340999.91666666669</v>
      </c>
      <c r="AE20" s="34">
        <f t="shared" si="4"/>
        <v>5086816.583333334</v>
      </c>
    </row>
    <row r="21" spans="1:31" ht="216" x14ac:dyDescent="0.3">
      <c r="A21" s="151">
        <v>167</v>
      </c>
      <c r="B21" s="61" t="s">
        <v>53</v>
      </c>
      <c r="C21" s="61" t="s">
        <v>168</v>
      </c>
      <c r="D21" s="61" t="s">
        <v>169</v>
      </c>
      <c r="E21" s="61" t="s">
        <v>170</v>
      </c>
      <c r="F21" s="60">
        <v>11262</v>
      </c>
      <c r="G21" s="51">
        <v>0</v>
      </c>
      <c r="H21" s="51">
        <v>0.93300000000000005</v>
      </c>
      <c r="I21" s="97">
        <f t="shared" si="0"/>
        <v>0.93300000000000005</v>
      </c>
      <c r="J21" s="62">
        <v>200000</v>
      </c>
      <c r="K21" s="62">
        <f t="shared" si="5"/>
        <v>171050</v>
      </c>
      <c r="L21" s="61" t="s">
        <v>171</v>
      </c>
      <c r="M21" s="61" t="s">
        <v>172</v>
      </c>
      <c r="N21" s="62">
        <v>60000</v>
      </c>
      <c r="O21" s="62">
        <v>60000</v>
      </c>
      <c r="P21" s="61" t="s">
        <v>173</v>
      </c>
      <c r="Q21" s="56" t="s">
        <v>174</v>
      </c>
      <c r="R21" s="61" t="str">
        <f t="shared" si="2"/>
        <v>Kaart</v>
      </c>
      <c r="S21" s="68">
        <v>89.262589869250007</v>
      </c>
      <c r="T21" s="68">
        <v>1205</v>
      </c>
      <c r="U21" s="83">
        <v>1</v>
      </c>
      <c r="V21" s="79">
        <v>0</v>
      </c>
      <c r="W21" s="79">
        <v>2</v>
      </c>
      <c r="X21" s="60">
        <v>0</v>
      </c>
      <c r="Y21" s="60">
        <v>2</v>
      </c>
      <c r="Z21" s="60">
        <v>2</v>
      </c>
      <c r="AA21" s="60">
        <v>2</v>
      </c>
      <c r="AB21" s="21" t="e">
        <f>S21*T21*(U21*#REF!+V21*#REF!+W21*#REF!+X21*#REF!+Y21*#REF!+Z21*#REF!+AA21*#REF!)/10000000+IF(O21&gt;0,O21/K21,0)</f>
        <v>#REF!</v>
      </c>
      <c r="AC21" s="93" t="s">
        <v>175</v>
      </c>
      <c r="AD21" s="92">
        <f t="shared" si="3"/>
        <v>111050</v>
      </c>
      <c r="AE21" s="34">
        <f t="shared" si="4"/>
        <v>5197866.583333334</v>
      </c>
    </row>
    <row r="22" spans="1:31" ht="72" x14ac:dyDescent="0.3">
      <c r="A22" s="121">
        <v>52</v>
      </c>
      <c r="B22" s="93" t="s">
        <v>43</v>
      </c>
      <c r="C22" s="93" t="s">
        <v>176</v>
      </c>
      <c r="D22" s="93" t="s">
        <v>177</v>
      </c>
      <c r="E22" s="93" t="s">
        <v>37</v>
      </c>
      <c r="F22" s="54">
        <v>22251</v>
      </c>
      <c r="G22" s="40">
        <v>3.57</v>
      </c>
      <c r="H22" s="40">
        <v>5</v>
      </c>
      <c r="I22" s="21">
        <f t="shared" si="0"/>
        <v>1.4300000000000002</v>
      </c>
      <c r="J22" s="87" t="s">
        <v>178</v>
      </c>
      <c r="K22" s="62">
        <f t="shared" si="5"/>
        <v>262166.66666666674</v>
      </c>
      <c r="L22" s="93" t="s">
        <v>179</v>
      </c>
      <c r="M22" s="93" t="s">
        <v>180</v>
      </c>
      <c r="N22" s="92" t="s">
        <v>83</v>
      </c>
      <c r="O22" s="58">
        <v>0</v>
      </c>
      <c r="P22" s="93" t="s">
        <v>181</v>
      </c>
      <c r="Q22" s="52" t="s">
        <v>182</v>
      </c>
      <c r="R22" s="20" t="str">
        <f t="shared" si="2"/>
        <v>Kaart</v>
      </c>
      <c r="S22" s="70">
        <v>474.07133527309804</v>
      </c>
      <c r="T22" s="67">
        <v>505</v>
      </c>
      <c r="U22" s="82">
        <v>1</v>
      </c>
      <c r="V22" s="53">
        <v>2</v>
      </c>
      <c r="W22" s="78">
        <v>2</v>
      </c>
      <c r="X22" s="54">
        <v>1</v>
      </c>
      <c r="Y22" s="54">
        <v>2</v>
      </c>
      <c r="Z22" s="54">
        <v>2</v>
      </c>
      <c r="AA22" s="54">
        <v>2</v>
      </c>
      <c r="AB22" s="21" t="e">
        <f>S22*T22*(U22*#REF!+V22*#REF!+W22*#REF!+X22*#REF!+Y22*#REF!+Z22*#REF!+AA22*#REF!)/10000000+IF(O22&gt;0,O22/K22,0)</f>
        <v>#REF!</v>
      </c>
      <c r="AC22" s="93"/>
      <c r="AD22" s="92">
        <f t="shared" si="3"/>
        <v>262166.66666666674</v>
      </c>
      <c r="AE22" s="34">
        <f t="shared" si="4"/>
        <v>5460033.2500000009</v>
      </c>
    </row>
    <row r="23" spans="1:31" ht="159" thickBot="1" x14ac:dyDescent="0.35">
      <c r="A23" s="121">
        <v>89</v>
      </c>
      <c r="B23" s="93" t="s">
        <v>69</v>
      </c>
      <c r="C23" s="30" t="s">
        <v>183</v>
      </c>
      <c r="D23" s="93" t="s">
        <v>184</v>
      </c>
      <c r="E23" s="93" t="s">
        <v>72</v>
      </c>
      <c r="F23" s="54">
        <v>27</v>
      </c>
      <c r="G23" s="32">
        <v>2.75</v>
      </c>
      <c r="H23" s="32">
        <v>4.6500000000000004</v>
      </c>
      <c r="I23" s="21">
        <f t="shared" si="0"/>
        <v>1.9000000000000004</v>
      </c>
      <c r="J23" s="92">
        <v>158000</v>
      </c>
      <c r="K23" s="62">
        <f t="shared" si="5"/>
        <v>348333.33333333337</v>
      </c>
      <c r="L23" s="93" t="s">
        <v>134</v>
      </c>
      <c r="M23" s="93" t="s">
        <v>135</v>
      </c>
      <c r="N23" s="92">
        <v>79000</v>
      </c>
      <c r="O23" s="92">
        <v>79000</v>
      </c>
      <c r="P23" s="93" t="s">
        <v>136</v>
      </c>
      <c r="Q23" s="52" t="s">
        <v>185</v>
      </c>
      <c r="R23" s="20" t="str">
        <f t="shared" si="2"/>
        <v>Kaart</v>
      </c>
      <c r="S23" s="70">
        <v>50.186928104579998</v>
      </c>
      <c r="T23" s="71">
        <v>1816</v>
      </c>
      <c r="U23" s="82">
        <v>2</v>
      </c>
      <c r="V23" s="53">
        <v>2</v>
      </c>
      <c r="W23" s="78">
        <v>3</v>
      </c>
      <c r="X23" s="54">
        <v>1</v>
      </c>
      <c r="Y23" s="54">
        <v>1</v>
      </c>
      <c r="Z23" s="54">
        <v>2</v>
      </c>
      <c r="AA23" s="54">
        <v>1</v>
      </c>
      <c r="AB23" s="21" t="e">
        <f>S23*T23*(U23*#REF!+V23*#REF!+W23*#REF!+X23*#REF!+Y23*#REF!+Z23*#REF!+AA23*#REF!)/10000000+IF(O23&gt;0,O23/K23,0)</f>
        <v>#REF!</v>
      </c>
      <c r="AC23" s="93"/>
      <c r="AD23" s="92">
        <f t="shared" si="3"/>
        <v>269333.33333333337</v>
      </c>
      <c r="AE23" s="34">
        <f t="shared" si="4"/>
        <v>5729366.583333334</v>
      </c>
    </row>
    <row r="24" spans="1:31" ht="108" customHeight="1" x14ac:dyDescent="0.3">
      <c r="A24" s="109">
        <v>73</v>
      </c>
      <c r="B24" s="45" t="s">
        <v>186</v>
      </c>
      <c r="C24" s="93" t="s">
        <v>187</v>
      </c>
      <c r="D24" s="93" t="s">
        <v>188</v>
      </c>
      <c r="E24" s="93" t="s">
        <v>189</v>
      </c>
      <c r="F24" s="50">
        <v>19202</v>
      </c>
      <c r="G24" s="40">
        <v>0</v>
      </c>
      <c r="H24" s="40">
        <v>1.7</v>
      </c>
      <c r="I24" s="97">
        <f t="shared" si="0"/>
        <v>1.7</v>
      </c>
      <c r="J24" s="87" t="s">
        <v>190</v>
      </c>
      <c r="K24" s="62">
        <f t="shared" si="5"/>
        <v>311666.66666666669</v>
      </c>
      <c r="L24" s="93" t="s">
        <v>191</v>
      </c>
      <c r="M24" s="93" t="s">
        <v>192</v>
      </c>
      <c r="N24" s="87" t="s">
        <v>193</v>
      </c>
      <c r="O24" s="21">
        <v>0</v>
      </c>
      <c r="P24" s="93" t="s">
        <v>194</v>
      </c>
      <c r="Q24" s="56" t="s">
        <v>195</v>
      </c>
      <c r="R24" s="20" t="str">
        <f t="shared" si="2"/>
        <v>Kaart</v>
      </c>
      <c r="S24" s="70">
        <v>405.37534063856998</v>
      </c>
      <c r="T24" s="67">
        <v>987</v>
      </c>
      <c r="U24" s="82">
        <v>0</v>
      </c>
      <c r="V24" s="78">
        <v>1</v>
      </c>
      <c r="W24" s="78">
        <v>1</v>
      </c>
      <c r="X24" s="54">
        <v>1</v>
      </c>
      <c r="Y24" s="54">
        <v>1</v>
      </c>
      <c r="Z24" s="54">
        <v>1</v>
      </c>
      <c r="AA24" s="54">
        <v>1</v>
      </c>
      <c r="AB24" s="21" t="e">
        <f>S24*T24*(U24*#REF!+V24*#REF!+W24*#REF!+X24*#REF!+Y24*#REF!+Z24*#REF!+AA24*#REF!)/10000000+IF(O24&gt;0,O24/K24,0)</f>
        <v>#REF!</v>
      </c>
      <c r="AC24" s="93" t="s">
        <v>196</v>
      </c>
      <c r="AD24" s="92">
        <f t="shared" si="3"/>
        <v>311666.66666666669</v>
      </c>
      <c r="AE24" s="34">
        <f t="shared" si="4"/>
        <v>6041033.2500000009</v>
      </c>
    </row>
    <row r="25" spans="1:31" ht="100.8" x14ac:dyDescent="0.3">
      <c r="A25" s="121">
        <v>94</v>
      </c>
      <c r="B25" s="93" t="s">
        <v>69</v>
      </c>
      <c r="C25" s="31" t="s">
        <v>197</v>
      </c>
      <c r="D25" s="36" t="s">
        <v>198</v>
      </c>
      <c r="E25" s="31" t="s">
        <v>72</v>
      </c>
      <c r="F25" s="31">
        <v>20225</v>
      </c>
      <c r="G25" s="35">
        <v>0.52200000000000002</v>
      </c>
      <c r="H25" s="32">
        <v>3.528</v>
      </c>
      <c r="I25" s="21">
        <f t="shared" si="0"/>
        <v>3.0060000000000002</v>
      </c>
      <c r="J25" s="92">
        <f>(H25-G25)*170000</f>
        <v>511020.00000000006</v>
      </c>
      <c r="K25" s="62">
        <f t="shared" si="5"/>
        <v>551100</v>
      </c>
      <c r="L25" s="93" t="s">
        <v>134</v>
      </c>
      <c r="M25" s="93" t="s">
        <v>135</v>
      </c>
      <c r="N25" s="54"/>
      <c r="O25" s="58">
        <v>0</v>
      </c>
      <c r="P25" s="93" t="s">
        <v>199</v>
      </c>
      <c r="Q25" s="52" t="s">
        <v>200</v>
      </c>
      <c r="R25" s="20" t="str">
        <f t="shared" si="2"/>
        <v>Kaart</v>
      </c>
      <c r="S25" s="70">
        <v>598.61552173322082</v>
      </c>
      <c r="T25" s="67">
        <v>325</v>
      </c>
      <c r="U25" s="82">
        <v>2</v>
      </c>
      <c r="V25" s="53">
        <v>1</v>
      </c>
      <c r="W25" s="78">
        <v>2</v>
      </c>
      <c r="X25" s="54">
        <v>1</v>
      </c>
      <c r="Y25" s="54">
        <v>2</v>
      </c>
      <c r="Z25" s="54">
        <v>2</v>
      </c>
      <c r="AA25" s="54">
        <v>0</v>
      </c>
      <c r="AB25" s="21" t="e">
        <f>S25*T25*(U25*#REF!+V25*#REF!+W25*#REF!+X25*#REF!+Y25*#REF!+Z25*#REF!+AA25*#REF!)/10000000+IF(O25&gt;0,O25/K25,0)</f>
        <v>#REF!</v>
      </c>
      <c r="AC25" s="93" t="s">
        <v>201</v>
      </c>
      <c r="AD25" s="92">
        <f t="shared" si="3"/>
        <v>551100</v>
      </c>
      <c r="AE25" s="34">
        <f t="shared" si="4"/>
        <v>6592133.2500000009</v>
      </c>
    </row>
    <row r="26" spans="1:31" ht="115.2" x14ac:dyDescent="0.3">
      <c r="A26" s="121">
        <v>11</v>
      </c>
      <c r="B26" s="93" t="s">
        <v>202</v>
      </c>
      <c r="C26" s="93" t="s">
        <v>203</v>
      </c>
      <c r="D26" s="93" t="s">
        <v>204</v>
      </c>
      <c r="E26" s="93" t="s">
        <v>205</v>
      </c>
      <c r="F26" s="54">
        <v>16107</v>
      </c>
      <c r="G26" s="40">
        <v>0</v>
      </c>
      <c r="H26" s="32">
        <v>2.6459999999999999</v>
      </c>
      <c r="I26" s="21">
        <f t="shared" si="0"/>
        <v>2.6459999999999999</v>
      </c>
      <c r="J26" s="92">
        <v>515000</v>
      </c>
      <c r="K26" s="62">
        <f t="shared" si="5"/>
        <v>485100</v>
      </c>
      <c r="L26" s="93" t="s">
        <v>206</v>
      </c>
      <c r="M26" s="93" t="s">
        <v>207</v>
      </c>
      <c r="N26" s="22">
        <v>0.2</v>
      </c>
      <c r="O26" s="58">
        <f>J26*0.2</f>
        <v>103000</v>
      </c>
      <c r="P26" s="93" t="s">
        <v>208</v>
      </c>
      <c r="Q26" s="52" t="s">
        <v>209</v>
      </c>
      <c r="R26" s="20" t="str">
        <f t="shared" si="2"/>
        <v>Kaart</v>
      </c>
      <c r="S26" s="70">
        <v>200.44226907627501</v>
      </c>
      <c r="T26" s="67">
        <v>290</v>
      </c>
      <c r="U26" s="82">
        <v>2</v>
      </c>
      <c r="V26" s="53">
        <v>2</v>
      </c>
      <c r="W26" s="78">
        <v>2</v>
      </c>
      <c r="X26" s="54">
        <v>1</v>
      </c>
      <c r="Y26" s="54">
        <v>3</v>
      </c>
      <c r="Z26" s="54">
        <v>2</v>
      </c>
      <c r="AA26" s="54">
        <v>3</v>
      </c>
      <c r="AB26" s="21" t="e">
        <f>S26*T26*(U26*#REF!+V26*#REF!+W26*#REF!+X26*#REF!+Y26*#REF!+Z26*#REF!+AA26*#REF!)/10000000+IF(O26&gt;0,O26/K26,0)</f>
        <v>#REF!</v>
      </c>
      <c r="AC26" s="93"/>
      <c r="AD26" s="92">
        <f t="shared" si="3"/>
        <v>382100</v>
      </c>
      <c r="AE26" s="34">
        <f t="shared" si="4"/>
        <v>6974233.2500000009</v>
      </c>
    </row>
    <row r="27" spans="1:31" ht="72.599999999999994" thickBot="1" x14ac:dyDescent="0.35">
      <c r="A27" s="121">
        <v>150</v>
      </c>
      <c r="B27" s="61" t="s">
        <v>34</v>
      </c>
      <c r="C27" s="61" t="s">
        <v>210</v>
      </c>
      <c r="D27" s="61" t="s">
        <v>211</v>
      </c>
      <c r="E27" s="61" t="s">
        <v>37</v>
      </c>
      <c r="F27" s="60">
        <v>14172</v>
      </c>
      <c r="G27" s="76">
        <v>0.3</v>
      </c>
      <c r="H27" s="76">
        <v>5.0999999999999996</v>
      </c>
      <c r="I27" s="97">
        <f t="shared" si="0"/>
        <v>4.8</v>
      </c>
      <c r="J27" s="62">
        <v>700000</v>
      </c>
      <c r="K27" s="62">
        <f t="shared" si="5"/>
        <v>880000</v>
      </c>
      <c r="L27" s="61" t="s">
        <v>212</v>
      </c>
      <c r="M27" s="61" t="s">
        <v>39</v>
      </c>
      <c r="N27" s="62" t="s">
        <v>39</v>
      </c>
      <c r="O27" s="156">
        <v>0</v>
      </c>
      <c r="P27" s="61" t="s">
        <v>40</v>
      </c>
      <c r="Q27" s="94" t="s">
        <v>140</v>
      </c>
      <c r="R27" s="61" t="str">
        <f t="shared" si="2"/>
        <v>Kaart</v>
      </c>
      <c r="S27" s="68">
        <v>301.29893561935</v>
      </c>
      <c r="T27" s="68">
        <v>530</v>
      </c>
      <c r="U27" s="83">
        <v>2</v>
      </c>
      <c r="V27" s="78">
        <v>0</v>
      </c>
      <c r="W27" s="79">
        <v>2</v>
      </c>
      <c r="X27" s="60">
        <v>1</v>
      </c>
      <c r="Y27" s="60">
        <v>1</v>
      </c>
      <c r="Z27" s="60">
        <v>2</v>
      </c>
      <c r="AA27" s="60">
        <v>1</v>
      </c>
      <c r="AB27" s="21" t="e">
        <f>S27*T27*(U27*#REF!+V27*#REF!+W27*#REF!+X27*#REF!+Y27*#REF!+Z27*#REF!+AA27*#REF!)/10000000+IF(O27&gt;0,O27/K27,0)</f>
        <v>#REF!</v>
      </c>
      <c r="AC27" s="93"/>
      <c r="AD27" s="92">
        <f t="shared" si="3"/>
        <v>880000</v>
      </c>
      <c r="AE27" s="34">
        <f t="shared" si="4"/>
        <v>7854233.2500000009</v>
      </c>
    </row>
    <row r="28" spans="1:31" ht="158.4" x14ac:dyDescent="0.3">
      <c r="A28" s="109">
        <v>42</v>
      </c>
      <c r="B28" s="45" t="s">
        <v>43</v>
      </c>
      <c r="C28" s="93" t="s">
        <v>213</v>
      </c>
      <c r="D28" s="93" t="s">
        <v>214</v>
      </c>
      <c r="E28" s="93" t="s">
        <v>46</v>
      </c>
      <c r="F28" s="54">
        <v>22267</v>
      </c>
      <c r="G28" s="40">
        <v>0</v>
      </c>
      <c r="H28" s="40">
        <v>1.6</v>
      </c>
      <c r="I28" s="21">
        <f t="shared" si="0"/>
        <v>1.6</v>
      </c>
      <c r="J28" s="92">
        <v>300000</v>
      </c>
      <c r="K28" s="62">
        <f t="shared" si="5"/>
        <v>293333.33333333337</v>
      </c>
      <c r="L28" s="93" t="s">
        <v>47</v>
      </c>
      <c r="M28" s="93" t="s">
        <v>48</v>
      </c>
      <c r="N28" s="92" t="s">
        <v>49</v>
      </c>
      <c r="O28" s="58">
        <v>0</v>
      </c>
      <c r="P28" s="93" t="s">
        <v>215</v>
      </c>
      <c r="Q28" s="52" t="s">
        <v>216</v>
      </c>
      <c r="R28" s="20" t="str">
        <f t="shared" si="2"/>
        <v>Kaart</v>
      </c>
      <c r="S28" s="70">
        <v>444.29037204642106</v>
      </c>
      <c r="T28" s="67">
        <v>258</v>
      </c>
      <c r="U28" s="82">
        <v>1</v>
      </c>
      <c r="V28" s="159">
        <v>2</v>
      </c>
      <c r="W28" s="78">
        <v>2</v>
      </c>
      <c r="X28" s="54">
        <v>2</v>
      </c>
      <c r="Y28" s="54">
        <v>2</v>
      </c>
      <c r="Z28" s="54">
        <v>2</v>
      </c>
      <c r="AA28" s="54">
        <v>2</v>
      </c>
      <c r="AB28" s="21" t="e">
        <f>S28*T28*(U28*#REF!+V28*#REF!+W28*#REF!+X28*#REF!+Y28*#REF!+Z28*#REF!+AA28*#REF!)/10000000+IF(O28&gt;0,O28/K28,0)</f>
        <v>#REF!</v>
      </c>
      <c r="AC28" s="93"/>
      <c r="AD28" s="92">
        <f t="shared" si="3"/>
        <v>293333.33333333337</v>
      </c>
      <c r="AE28" s="34">
        <f t="shared" si="4"/>
        <v>8147566.583333334</v>
      </c>
    </row>
    <row r="29" spans="1:31" ht="86.4" x14ac:dyDescent="0.3">
      <c r="A29" s="72">
        <v>138</v>
      </c>
      <c r="B29" s="93" t="s">
        <v>152</v>
      </c>
      <c r="C29" s="93" t="s">
        <v>153</v>
      </c>
      <c r="D29" s="93" t="s">
        <v>217</v>
      </c>
      <c r="E29" s="93" t="s">
        <v>37</v>
      </c>
      <c r="F29" s="54">
        <v>20</v>
      </c>
      <c r="G29" s="40">
        <v>23.728000000000002</v>
      </c>
      <c r="H29" s="40">
        <v>26.06</v>
      </c>
      <c r="I29" s="21">
        <f t="shared" si="0"/>
        <v>2.3319999999999972</v>
      </c>
      <c r="J29" s="92">
        <v>475000</v>
      </c>
      <c r="K29" s="62">
        <f t="shared" si="5"/>
        <v>427533.33333333279</v>
      </c>
      <c r="L29" s="93" t="s">
        <v>155</v>
      </c>
      <c r="M29" s="93" t="s">
        <v>156</v>
      </c>
      <c r="N29" s="92">
        <v>50000</v>
      </c>
      <c r="O29" s="92">
        <v>50000</v>
      </c>
      <c r="P29" s="93" t="s">
        <v>157</v>
      </c>
      <c r="Q29" s="52" t="s">
        <v>158</v>
      </c>
      <c r="R29" s="20" t="str">
        <f t="shared" si="2"/>
        <v>Kaart</v>
      </c>
      <c r="S29" s="70">
        <v>112.00000000007999</v>
      </c>
      <c r="T29" s="71">
        <v>644</v>
      </c>
      <c r="U29" s="83">
        <v>1</v>
      </c>
      <c r="V29" s="53">
        <v>2</v>
      </c>
      <c r="W29" s="78">
        <v>2</v>
      </c>
      <c r="X29" s="54">
        <v>2</v>
      </c>
      <c r="Y29" s="54">
        <v>1</v>
      </c>
      <c r="Z29" s="54">
        <v>0</v>
      </c>
      <c r="AA29" s="54">
        <v>1</v>
      </c>
      <c r="AB29" s="21" t="e">
        <f>S29*T29*(U29*#REF!+V29*#REF!+W29*#REF!+X29*#REF!+Y29*#REF!+Z29*#REF!+AA29*#REF!)/10000000+IF(O29&gt;0,O29/K29,0)</f>
        <v>#REF!</v>
      </c>
      <c r="AC29" s="93"/>
      <c r="AD29" s="92">
        <f t="shared" si="3"/>
        <v>377533.33333333279</v>
      </c>
      <c r="AE29" s="34">
        <f t="shared" si="4"/>
        <v>8525099.916666666</v>
      </c>
    </row>
    <row r="30" spans="1:31" ht="72" x14ac:dyDescent="0.3">
      <c r="A30" s="72">
        <v>104</v>
      </c>
      <c r="B30" s="168" t="s">
        <v>53</v>
      </c>
      <c r="C30" s="168" t="s">
        <v>218</v>
      </c>
      <c r="D30" s="42" t="s">
        <v>219</v>
      </c>
      <c r="E30" s="93" t="s">
        <v>220</v>
      </c>
      <c r="F30" s="54">
        <v>11166</v>
      </c>
      <c r="G30" s="40">
        <v>4.62</v>
      </c>
      <c r="H30" s="40">
        <v>5.4</v>
      </c>
      <c r="I30" s="21">
        <f t="shared" si="0"/>
        <v>0.78000000000000025</v>
      </c>
      <c r="J30" s="92">
        <v>48000</v>
      </c>
      <c r="K30" s="62">
        <f t="shared" si="5"/>
        <v>143000.00000000006</v>
      </c>
      <c r="L30" s="93" t="s">
        <v>144</v>
      </c>
      <c r="M30" s="17">
        <v>0.5</v>
      </c>
      <c r="N30" s="92">
        <v>24000</v>
      </c>
      <c r="O30" s="92">
        <v>24000</v>
      </c>
      <c r="P30" s="93" t="s">
        <v>221</v>
      </c>
      <c r="Q30" s="52" t="s">
        <v>222</v>
      </c>
      <c r="R30" s="20" t="str">
        <f t="shared" si="2"/>
        <v>Kaart</v>
      </c>
      <c r="S30" s="70">
        <v>172.45684803006009</v>
      </c>
      <c r="T30" s="67">
        <v>338</v>
      </c>
      <c r="U30" s="82">
        <v>1</v>
      </c>
      <c r="V30" s="78">
        <v>3</v>
      </c>
      <c r="W30" s="78">
        <v>2</v>
      </c>
      <c r="X30" s="54">
        <v>0</v>
      </c>
      <c r="Y30" s="54">
        <v>1</v>
      </c>
      <c r="Z30" s="54">
        <v>0</v>
      </c>
      <c r="AA30" s="54">
        <v>1</v>
      </c>
      <c r="AB30" s="21" t="e">
        <f>S30*T30*(U30*#REF!+V30*#REF!+W30*#REF!+X30*#REF!+Y30*#REF!+Z30*#REF!+AA30*#REF!)/10000000+IF(O30&gt;0,O30/K30,0)</f>
        <v>#REF!</v>
      </c>
      <c r="AC30" s="93"/>
      <c r="AD30" s="92">
        <f t="shared" si="3"/>
        <v>119000.00000000006</v>
      </c>
    </row>
    <row r="31" spans="1:31" ht="100.8" x14ac:dyDescent="0.3">
      <c r="A31" s="151">
        <v>24</v>
      </c>
      <c r="B31" s="61" t="s">
        <v>87</v>
      </c>
      <c r="C31" s="61" t="s">
        <v>223</v>
      </c>
      <c r="D31" s="61" t="s">
        <v>224</v>
      </c>
      <c r="E31" s="61" t="s">
        <v>225</v>
      </c>
      <c r="F31" s="60">
        <v>25</v>
      </c>
      <c r="G31" s="76">
        <v>23.6</v>
      </c>
      <c r="H31" s="76">
        <v>25.7</v>
      </c>
      <c r="I31" s="21">
        <f t="shared" si="0"/>
        <v>2.0999999999999979</v>
      </c>
      <c r="J31" s="62">
        <v>240000</v>
      </c>
      <c r="K31" s="62">
        <f t="shared" si="5"/>
        <v>384999.99999999965</v>
      </c>
      <c r="L31" s="61" t="s">
        <v>91</v>
      </c>
      <c r="M31" s="61" t="s">
        <v>92</v>
      </c>
      <c r="N31" s="62" t="s">
        <v>83</v>
      </c>
      <c r="O31" s="58">
        <v>0</v>
      </c>
      <c r="P31" s="61" t="s">
        <v>226</v>
      </c>
      <c r="Q31" s="52" t="s">
        <v>227</v>
      </c>
      <c r="R31" s="61" t="str">
        <f t="shared" si="2"/>
        <v>Kaart</v>
      </c>
      <c r="S31" s="68">
        <v>96.247267759589974</v>
      </c>
      <c r="T31" s="69">
        <v>911</v>
      </c>
      <c r="U31" s="83">
        <v>2</v>
      </c>
      <c r="V31" s="79">
        <v>3</v>
      </c>
      <c r="W31" s="79">
        <v>2</v>
      </c>
      <c r="X31" s="60">
        <v>1</v>
      </c>
      <c r="Y31" s="60">
        <v>1</v>
      </c>
      <c r="Z31" s="60">
        <v>2</v>
      </c>
      <c r="AA31" s="60">
        <v>1</v>
      </c>
      <c r="AB31" s="21" t="e">
        <f>S31*T31*(U31*#REF!+V31*#REF!+W31*#REF!+X31*#REF!+Y31*#REF!+Z31*#REF!+AA31*#REF!)/10000000+IF(O31&gt;0,O31/K31,0)</f>
        <v>#REF!</v>
      </c>
      <c r="AC31" s="93"/>
      <c r="AD31" s="92">
        <f t="shared" si="3"/>
        <v>384999.99999999965</v>
      </c>
    </row>
    <row r="32" spans="1:31" ht="187.2" x14ac:dyDescent="0.3">
      <c r="A32" s="121">
        <v>123</v>
      </c>
      <c r="B32" s="45" t="s">
        <v>43</v>
      </c>
      <c r="C32" s="93" t="s">
        <v>228</v>
      </c>
      <c r="D32" s="93" t="s">
        <v>229</v>
      </c>
      <c r="E32" s="93" t="s">
        <v>230</v>
      </c>
      <c r="F32" s="54">
        <v>22105</v>
      </c>
      <c r="G32" s="40">
        <v>3.1</v>
      </c>
      <c r="H32" s="40">
        <v>3.7</v>
      </c>
      <c r="I32" s="21">
        <f t="shared" si="0"/>
        <v>0.60000000000000009</v>
      </c>
      <c r="J32" s="92">
        <v>150000</v>
      </c>
      <c r="K32" s="62">
        <f t="shared" si="5"/>
        <v>110000.00000000003</v>
      </c>
      <c r="L32" s="93" t="s">
        <v>120</v>
      </c>
      <c r="M32" s="93" t="s">
        <v>231</v>
      </c>
      <c r="N32" s="92" t="s">
        <v>83</v>
      </c>
      <c r="O32" s="58">
        <v>0</v>
      </c>
      <c r="P32" s="93" t="s">
        <v>232</v>
      </c>
      <c r="Q32" s="52" t="s">
        <v>233</v>
      </c>
      <c r="R32" s="20" t="str">
        <f t="shared" si="2"/>
        <v>Kaart</v>
      </c>
      <c r="S32" s="70">
        <v>153.10102301790997</v>
      </c>
      <c r="T32" s="67">
        <v>631</v>
      </c>
      <c r="U32" s="82">
        <v>1</v>
      </c>
      <c r="V32" s="78">
        <v>3</v>
      </c>
      <c r="W32" s="78">
        <v>2</v>
      </c>
      <c r="X32" s="54">
        <v>1</v>
      </c>
      <c r="Y32" s="54">
        <v>2</v>
      </c>
      <c r="Z32" s="54">
        <v>0</v>
      </c>
      <c r="AA32" s="54">
        <v>1</v>
      </c>
      <c r="AB32" s="21" t="e">
        <f>S32*T32*(U32*#REF!+V32*#REF!+W32*#REF!+X32*#REF!+Y32*#REF!+Z32*#REF!+AA32*#REF!)/10000000+IF(O32&gt;0,O32/K32,0)</f>
        <v>#REF!</v>
      </c>
      <c r="AC32" s="93"/>
      <c r="AD32" s="92">
        <f t="shared" si="3"/>
        <v>110000.00000000003</v>
      </c>
    </row>
    <row r="36" spans="1:30" ht="23.4" x14ac:dyDescent="0.3">
      <c r="A36" s="201" t="s">
        <v>234</v>
      </c>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row>
    <row r="37" spans="1:30" ht="72" x14ac:dyDescent="0.3">
      <c r="A37" s="85">
        <v>255</v>
      </c>
      <c r="B37" s="73" t="s">
        <v>78</v>
      </c>
      <c r="C37" s="59" t="s">
        <v>235</v>
      </c>
      <c r="D37" s="59" t="s">
        <v>236</v>
      </c>
      <c r="E37" s="63" t="s">
        <v>72</v>
      </c>
      <c r="F37" s="59">
        <v>22132</v>
      </c>
      <c r="G37" s="59">
        <v>1.6</v>
      </c>
      <c r="H37" s="59">
        <v>5.7</v>
      </c>
      <c r="I37" s="21">
        <f t="shared" ref="I37:I42" si="6">H37-G37</f>
        <v>4.0999999999999996</v>
      </c>
      <c r="J37" s="64">
        <v>900000</v>
      </c>
      <c r="K37" s="62">
        <f t="shared" ref="K37:K42" si="7">(I37*220000)/1.2</f>
        <v>751666.66666666663</v>
      </c>
      <c r="L37" s="59" t="s">
        <v>237</v>
      </c>
      <c r="M37" s="63"/>
      <c r="N37" s="63"/>
      <c r="O37" s="58">
        <v>0</v>
      </c>
      <c r="P37" s="63"/>
      <c r="Q37" s="167" t="s">
        <v>238</v>
      </c>
      <c r="R37" s="20" t="str">
        <f t="shared" ref="R37:R42" si="8">HYPERLINK("https://xgis.maaamet.ee/xgis2/page/app/teeregister?searchid=teeotsing&amp;roadid="&amp;F37&amp;"&amp;begin="&amp;G37&amp;"&amp;end="&amp;H37&amp;"","Kaart")</f>
        <v>Kaart</v>
      </c>
      <c r="S37" s="70">
        <v>560.87825388227816</v>
      </c>
      <c r="T37" s="67">
        <v>1289</v>
      </c>
      <c r="U37" s="82">
        <v>0</v>
      </c>
      <c r="V37" s="82">
        <v>0</v>
      </c>
      <c r="W37" s="82">
        <v>0</v>
      </c>
      <c r="X37" s="54">
        <v>3</v>
      </c>
      <c r="Y37" s="54">
        <v>3</v>
      </c>
      <c r="Z37" s="54">
        <v>2</v>
      </c>
      <c r="AA37" s="54">
        <v>3</v>
      </c>
      <c r="AB37" s="21" t="e">
        <f>S37*T37*(U37*#REF!+V37*#REF!+W37*#REF!+X37*#REF!+Y37*#REF!+Z37*#REF!+AA37*#REF!)/10000000+IF(O37&gt;0,O37/K37,0)</f>
        <v>#REF!</v>
      </c>
      <c r="AC37" s="93"/>
      <c r="AD37" s="54"/>
    </row>
    <row r="38" spans="1:30" ht="58.2" thickBot="1" x14ac:dyDescent="0.35">
      <c r="A38" s="74">
        <v>32</v>
      </c>
      <c r="B38" s="45" t="s">
        <v>78</v>
      </c>
      <c r="C38" s="93" t="s">
        <v>239</v>
      </c>
      <c r="D38" s="93" t="s">
        <v>80</v>
      </c>
      <c r="E38" s="93" t="s">
        <v>81</v>
      </c>
      <c r="F38" s="54">
        <v>22140</v>
      </c>
      <c r="G38" s="40">
        <v>0.46800000000000003</v>
      </c>
      <c r="H38" s="40">
        <v>0.98199999999999998</v>
      </c>
      <c r="I38" s="21">
        <f t="shared" si="6"/>
        <v>0.51400000000000001</v>
      </c>
      <c r="J38" s="92">
        <v>100000</v>
      </c>
      <c r="K38" s="62">
        <f t="shared" si="7"/>
        <v>94233.333333333343</v>
      </c>
      <c r="L38" s="93" t="s">
        <v>82</v>
      </c>
      <c r="M38" s="93" t="s">
        <v>240</v>
      </c>
      <c r="N38" s="92"/>
      <c r="O38" s="58">
        <v>0</v>
      </c>
      <c r="P38" s="93" t="s">
        <v>84</v>
      </c>
      <c r="Q38" s="94"/>
      <c r="R38" s="20" t="str">
        <f t="shared" si="8"/>
        <v>Kaart</v>
      </c>
      <c r="S38" s="70">
        <v>235.45597775747015</v>
      </c>
      <c r="T38" s="67">
        <v>4055</v>
      </c>
      <c r="U38" s="82">
        <v>1</v>
      </c>
      <c r="V38" s="78">
        <v>0</v>
      </c>
      <c r="W38" s="78">
        <v>1</v>
      </c>
      <c r="X38" s="54">
        <v>1</v>
      </c>
      <c r="Y38" s="54">
        <v>3</v>
      </c>
      <c r="Z38" s="54">
        <v>2</v>
      </c>
      <c r="AA38" s="54">
        <v>1</v>
      </c>
      <c r="AB38" s="21" t="e">
        <f>S38*T38*(U38*#REF!+V38*#REF!+W38*#REF!+X38*#REF!+Y38*#REF!+Z38*#REF!+AA38*#REF!)/10000000+IF(O38&gt;0,O38/K38,0)</f>
        <v>#REF!</v>
      </c>
      <c r="AC38" s="93"/>
      <c r="AD38" s="54"/>
    </row>
    <row r="39" spans="1:30" ht="72.599999999999994" thickBot="1" x14ac:dyDescent="0.35">
      <c r="A39" s="74">
        <v>261</v>
      </c>
      <c r="B39" s="73" t="s">
        <v>62</v>
      </c>
      <c r="C39" s="59" t="s">
        <v>241</v>
      </c>
      <c r="D39" s="59" t="s">
        <v>242</v>
      </c>
      <c r="E39" s="63" t="s">
        <v>72</v>
      </c>
      <c r="F39" s="59">
        <v>11395</v>
      </c>
      <c r="G39" s="59">
        <v>0</v>
      </c>
      <c r="H39" s="59">
        <v>0.67</v>
      </c>
      <c r="I39" s="21">
        <f t="shared" si="6"/>
        <v>0.67</v>
      </c>
      <c r="J39" s="64">
        <v>150000</v>
      </c>
      <c r="K39" s="62">
        <f t="shared" si="7"/>
        <v>122833.33333333334</v>
      </c>
      <c r="L39" s="59" t="s">
        <v>237</v>
      </c>
      <c r="M39" s="63"/>
      <c r="N39" s="63"/>
      <c r="O39" s="58">
        <v>0</v>
      </c>
      <c r="P39" s="63"/>
      <c r="Q39" s="167" t="s">
        <v>238</v>
      </c>
      <c r="R39" s="20" t="str">
        <f t="shared" si="8"/>
        <v>Kaart</v>
      </c>
      <c r="S39" s="70">
        <v>185.68772338755352</v>
      </c>
      <c r="T39" s="67">
        <v>626</v>
      </c>
      <c r="U39" s="82">
        <v>0</v>
      </c>
      <c r="V39" s="78">
        <v>0</v>
      </c>
      <c r="W39" s="78">
        <v>0</v>
      </c>
      <c r="X39" s="54">
        <v>3</v>
      </c>
      <c r="Y39" s="54">
        <v>3</v>
      </c>
      <c r="Z39" s="54">
        <v>2</v>
      </c>
      <c r="AA39" s="54">
        <v>2</v>
      </c>
      <c r="AB39" s="21" t="e">
        <f>S39*T39*(U39*#REF!+V39*#REF!+W39*#REF!+X39*#REF!+Y39*#REF!+Z39*#REF!+AA39*#REF!)/10000000+IF(O39&gt;0,O39/K39,0)</f>
        <v>#REF!</v>
      </c>
      <c r="AC39" s="93"/>
      <c r="AD39" s="54"/>
    </row>
    <row r="40" spans="1:30" ht="109.5" customHeight="1" thickBot="1" x14ac:dyDescent="0.35">
      <c r="A40" s="74">
        <v>194</v>
      </c>
      <c r="B40" s="73" t="s">
        <v>78</v>
      </c>
      <c r="C40" s="59" t="s">
        <v>243</v>
      </c>
      <c r="D40" s="59" t="s">
        <v>244</v>
      </c>
      <c r="E40" s="63" t="s">
        <v>72</v>
      </c>
      <c r="F40" s="59">
        <v>41</v>
      </c>
      <c r="G40" s="59">
        <v>12.1</v>
      </c>
      <c r="H40" s="59">
        <v>12.9</v>
      </c>
      <c r="I40" s="21">
        <f t="shared" si="6"/>
        <v>0.80000000000000071</v>
      </c>
      <c r="J40" s="64">
        <v>200000</v>
      </c>
      <c r="K40" s="62">
        <f t="shared" si="7"/>
        <v>146666.6666666668</v>
      </c>
      <c r="L40" s="59" t="s">
        <v>237</v>
      </c>
      <c r="M40" s="63"/>
      <c r="N40" s="63"/>
      <c r="O40" s="58">
        <v>0</v>
      </c>
      <c r="P40" s="63"/>
      <c r="Q40" s="167" t="s">
        <v>238</v>
      </c>
      <c r="R40" s="20" t="str">
        <f t="shared" si="8"/>
        <v>Kaart</v>
      </c>
      <c r="S40" s="70">
        <v>305.80045695046999</v>
      </c>
      <c r="T40" s="71">
        <v>1896</v>
      </c>
      <c r="U40" s="82">
        <v>0</v>
      </c>
      <c r="V40" s="78">
        <v>0</v>
      </c>
      <c r="W40" s="78">
        <v>0</v>
      </c>
      <c r="X40" s="54">
        <v>1</v>
      </c>
      <c r="Y40" s="54">
        <v>2</v>
      </c>
      <c r="Z40" s="54">
        <v>3</v>
      </c>
      <c r="AA40" s="54">
        <v>3</v>
      </c>
      <c r="AB40" s="21" t="e">
        <f>S40*T40*(U40*#REF!+V40*#REF!+W40*#REF!+X40*#REF!+Y40*#REF!+Z40*#REF!+AA40*#REF!)/10000000+IF(O40&gt;0,O40/K40,0)</f>
        <v>#REF!</v>
      </c>
      <c r="AC40" s="93"/>
      <c r="AD40" s="54"/>
    </row>
    <row r="41" spans="1:30" ht="72.599999999999994" thickBot="1" x14ac:dyDescent="0.35">
      <c r="A41" s="74">
        <v>193</v>
      </c>
      <c r="B41" s="73" t="s">
        <v>34</v>
      </c>
      <c r="C41" s="59" t="s">
        <v>245</v>
      </c>
      <c r="D41" s="59" t="s">
        <v>246</v>
      </c>
      <c r="E41" s="63" t="s">
        <v>72</v>
      </c>
      <c r="F41" s="59">
        <v>38</v>
      </c>
      <c r="G41" s="59">
        <v>3.62</v>
      </c>
      <c r="H41" s="59">
        <v>8</v>
      </c>
      <c r="I41" s="21">
        <f t="shared" si="6"/>
        <v>4.38</v>
      </c>
      <c r="J41" s="64">
        <v>900000</v>
      </c>
      <c r="K41" s="62">
        <f t="shared" si="7"/>
        <v>803000</v>
      </c>
      <c r="L41" s="59" t="s">
        <v>237</v>
      </c>
      <c r="M41" s="63"/>
      <c r="N41" s="63"/>
      <c r="O41" s="58">
        <v>0</v>
      </c>
      <c r="P41" s="63"/>
      <c r="Q41" s="167" t="s">
        <v>238</v>
      </c>
      <c r="R41" s="20" t="str">
        <f t="shared" si="8"/>
        <v>Kaart</v>
      </c>
      <c r="S41" s="70">
        <v>761.66278054309532</v>
      </c>
      <c r="T41" s="71">
        <v>802</v>
      </c>
      <c r="U41" s="82">
        <v>0</v>
      </c>
      <c r="V41" s="78">
        <v>0</v>
      </c>
      <c r="W41" s="78">
        <v>0</v>
      </c>
      <c r="X41" s="54">
        <v>2</v>
      </c>
      <c r="Y41" s="54">
        <v>1</v>
      </c>
      <c r="Z41" s="54">
        <v>2</v>
      </c>
      <c r="AA41" s="54">
        <v>1</v>
      </c>
      <c r="AB41" s="21" t="e">
        <f>S41*T41*(U41*#REF!+V41*#REF!+W41*#REF!+X41*#REF!+Y41*#REF!+Z41*#REF!+AA41*#REF!)/10000000+IF(O41&gt;0,O41/K41,0)</f>
        <v>#REF!</v>
      </c>
      <c r="AC41" s="93"/>
      <c r="AD41" s="54"/>
    </row>
    <row r="42" spans="1:30" ht="58.2" thickBot="1" x14ac:dyDescent="0.35">
      <c r="A42" s="75">
        <v>178</v>
      </c>
      <c r="B42" s="45" t="s">
        <v>62</v>
      </c>
      <c r="C42" s="93" t="s">
        <v>247</v>
      </c>
      <c r="D42" s="93" t="s">
        <v>248</v>
      </c>
      <c r="E42" s="93" t="s">
        <v>249</v>
      </c>
      <c r="F42" s="54">
        <v>11254</v>
      </c>
      <c r="G42" s="40">
        <v>1.6</v>
      </c>
      <c r="H42" s="40">
        <v>2.5</v>
      </c>
      <c r="I42" s="97">
        <f t="shared" si="6"/>
        <v>0.89999999999999991</v>
      </c>
      <c r="J42" s="92">
        <v>179999.99999999997</v>
      </c>
      <c r="K42" s="62">
        <f t="shared" si="7"/>
        <v>164999.99999999997</v>
      </c>
      <c r="L42" s="93" t="s">
        <v>250</v>
      </c>
      <c r="M42" s="93" t="s">
        <v>251</v>
      </c>
      <c r="N42" s="92" t="s">
        <v>252</v>
      </c>
      <c r="O42" s="58">
        <v>0</v>
      </c>
      <c r="P42" s="92" t="s">
        <v>252</v>
      </c>
      <c r="Q42" s="58" t="s">
        <v>252</v>
      </c>
      <c r="R42" s="20" t="str">
        <f t="shared" si="8"/>
        <v>Kaart</v>
      </c>
      <c r="S42" s="70">
        <v>495.55843559740424</v>
      </c>
      <c r="T42" s="67">
        <v>1826</v>
      </c>
      <c r="U42" s="82">
        <v>0</v>
      </c>
      <c r="V42" s="78">
        <v>0</v>
      </c>
      <c r="W42" s="78">
        <v>0</v>
      </c>
      <c r="X42" s="54">
        <v>1</v>
      </c>
      <c r="Y42" s="54">
        <v>3</v>
      </c>
      <c r="Z42" s="54">
        <v>3</v>
      </c>
      <c r="AA42" s="54">
        <v>3</v>
      </c>
      <c r="AB42" s="21" t="e">
        <f>S42*T42*(U42*#REF!+V42*#REF!+W42*#REF!+X42*#REF!+Y42*#REF!+Z42*#REF!+AA42*#REF!)/10000000+IF(O42&gt;0,O42/K42,0)</f>
        <v>#REF!</v>
      </c>
      <c r="AC42" s="93"/>
      <c r="AD42" s="54"/>
    </row>
  </sheetData>
  <sortState xmlns:xlrd2="http://schemas.microsoft.com/office/spreadsheetml/2017/richdata2" ref="A3:AD32">
    <sortCondition descending="1" ref="AB3:AB32"/>
  </sortState>
  <mergeCells count="4">
    <mergeCell ref="F1:H1"/>
    <mergeCell ref="S1:T1"/>
    <mergeCell ref="U1:AA1"/>
    <mergeCell ref="A36:AB36"/>
  </mergeCells>
  <hyperlinks>
    <hyperlink ref="P21" r:id="rId1" xr:uid="{46B4AEC9-844C-43BA-AC3C-E41A50BB9845}"/>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02642-29DB-4F9F-A642-E5FB48D9524C}">
  <dimension ref="A1:J5"/>
  <sheetViews>
    <sheetView tabSelected="1" zoomScaleNormal="100" workbookViewId="0">
      <pane ySplit="1" topLeftCell="A2" activePane="bottomLeft" state="frozen"/>
      <selection activeCell="E2" sqref="E2"/>
      <selection pane="bottomLeft" activeCell="J3" sqref="J3"/>
    </sheetView>
  </sheetViews>
  <sheetFormatPr defaultColWidth="9.109375" defaultRowHeight="14.4" x14ac:dyDescent="0.3"/>
  <cols>
    <col min="1" max="1" width="6.6640625" style="3" customWidth="1"/>
    <col min="2" max="2" width="10.33203125" style="2" bestFit="1" customWidth="1"/>
    <col min="3" max="3" width="11.5546875" style="2" customWidth="1"/>
    <col min="4" max="4" width="10.109375" style="2" customWidth="1"/>
    <col min="5" max="5" width="11.33203125" style="3" customWidth="1"/>
    <col min="6" max="6" width="17.88671875" style="3" customWidth="1"/>
    <col min="7" max="7" width="57.88671875" style="3" customWidth="1"/>
    <col min="8" max="8" width="24.88671875" style="3" customWidth="1"/>
    <col min="9" max="9" width="15.33203125" style="2" customWidth="1"/>
    <col min="10" max="10" width="14.88671875" style="2" bestFit="1" customWidth="1"/>
    <col min="11" max="16384" width="9.109375" style="2"/>
  </cols>
  <sheetData>
    <row r="1" spans="1:10" ht="96" customHeight="1" x14ac:dyDescent="0.3">
      <c r="A1" s="175" t="s">
        <v>414</v>
      </c>
      <c r="B1" s="171" t="s">
        <v>10</v>
      </c>
      <c r="C1" s="171" t="s">
        <v>254</v>
      </c>
      <c r="D1" s="172" t="s">
        <v>255</v>
      </c>
      <c r="E1" s="171" t="s">
        <v>6</v>
      </c>
      <c r="F1" s="171" t="s">
        <v>256</v>
      </c>
      <c r="G1" s="171" t="s">
        <v>8</v>
      </c>
      <c r="H1" s="171" t="s">
        <v>9</v>
      </c>
      <c r="I1" s="173" t="s">
        <v>16</v>
      </c>
      <c r="J1" s="173" t="s">
        <v>465</v>
      </c>
    </row>
    <row r="2" spans="1:10" ht="43.2" x14ac:dyDescent="0.3">
      <c r="A2" s="176">
        <v>1</v>
      </c>
      <c r="B2" s="63">
        <v>37</v>
      </c>
      <c r="C2" s="111">
        <v>25</v>
      </c>
      <c r="D2" s="111" t="s">
        <v>265</v>
      </c>
      <c r="E2" s="93" t="s">
        <v>34</v>
      </c>
      <c r="F2" s="93" t="s">
        <v>266</v>
      </c>
      <c r="G2" s="93" t="s">
        <v>421</v>
      </c>
      <c r="H2" s="93" t="s">
        <v>268</v>
      </c>
      <c r="I2" s="93" t="s">
        <v>38</v>
      </c>
      <c r="J2" s="212" t="str">
        <f>HYPERLINK("https://xgis.maaamet.ee/xgis2/page/app/teeregister?searchid=teeotsing&amp;roadid="&amp;B2&amp;"&amp;begin="&amp;C2&amp;"&amp;end="&amp;C2&amp;"","Kaart")</f>
        <v>Kaart</v>
      </c>
    </row>
    <row r="3" spans="1:10" ht="266.25" customHeight="1" x14ac:dyDescent="0.3">
      <c r="A3" s="176">
        <v>2</v>
      </c>
      <c r="B3" s="127">
        <v>11251</v>
      </c>
      <c r="C3" s="111">
        <v>2.2999999999999998</v>
      </c>
      <c r="D3" s="111" t="s">
        <v>281</v>
      </c>
      <c r="E3" s="93" t="s">
        <v>53</v>
      </c>
      <c r="F3" s="93" t="s">
        <v>282</v>
      </c>
      <c r="G3" s="93" t="s">
        <v>420</v>
      </c>
      <c r="H3" s="93" t="s">
        <v>284</v>
      </c>
      <c r="I3" s="24" t="s">
        <v>57</v>
      </c>
      <c r="J3" s="212" t="str">
        <f>HYPERLINK("https://xgis.maaamet.ee/xgis2/page/app/teeregister?searchid=teeotsing&amp;roadid="&amp;B3&amp;"&amp;begin="&amp;C3&amp;"&amp;end="&amp;C3&amp;"","Kaart")</f>
        <v>Kaart</v>
      </c>
    </row>
    <row r="4" spans="1:10" ht="43.2" x14ac:dyDescent="0.3">
      <c r="A4" s="176">
        <v>3</v>
      </c>
      <c r="B4" s="63">
        <v>11162</v>
      </c>
      <c r="C4" s="129">
        <v>0.55000000000000004</v>
      </c>
      <c r="D4" s="129" t="s">
        <v>281</v>
      </c>
      <c r="E4" s="93" t="s">
        <v>53</v>
      </c>
      <c r="F4" s="93" t="s">
        <v>287</v>
      </c>
      <c r="G4" s="93" t="s">
        <v>288</v>
      </c>
      <c r="H4" s="93" t="s">
        <v>289</v>
      </c>
      <c r="I4" s="93" t="s">
        <v>144</v>
      </c>
      <c r="J4" s="212" t="str">
        <f t="shared" ref="J3:J5" si="0">HYPERLINK("https://xgis.maaamet.ee/xgis2/page/app/teeregister?searchid=teeotsing&amp;roadid="&amp;B4&amp;"&amp;begin="&amp;C4&amp;"&amp;end="&amp;C4&amp;"","Kaart")</f>
        <v>Kaart</v>
      </c>
    </row>
    <row r="5" spans="1:10" ht="128.25" customHeight="1" x14ac:dyDescent="0.3">
      <c r="A5" s="177">
        <v>4</v>
      </c>
      <c r="B5" s="178" t="s">
        <v>292</v>
      </c>
      <c r="C5" s="162">
        <v>0.28000000000000003</v>
      </c>
      <c r="D5" s="41" t="s">
        <v>281</v>
      </c>
      <c r="E5" s="179" t="s">
        <v>62</v>
      </c>
      <c r="F5" s="93" t="s">
        <v>293</v>
      </c>
      <c r="G5" s="163" t="s">
        <v>419</v>
      </c>
      <c r="H5" s="163" t="s">
        <v>294</v>
      </c>
      <c r="I5" s="164" t="s">
        <v>295</v>
      </c>
      <c r="J5" s="212" t="str">
        <f t="shared" si="0"/>
        <v>Kaart</v>
      </c>
    </row>
  </sheetData>
  <phoneticPr fontId="15" type="noConversion"/>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6B336-9465-4A70-8E4D-65D3CDE63043}">
  <dimension ref="A1:AI32"/>
  <sheetViews>
    <sheetView topLeftCell="A25" zoomScale="80" zoomScaleNormal="80" workbookViewId="0">
      <selection activeCell="AK28" sqref="AK28"/>
    </sheetView>
  </sheetViews>
  <sheetFormatPr defaultColWidth="9.109375" defaultRowHeight="14.4" x14ac:dyDescent="0.3"/>
  <cols>
    <col min="1" max="1" width="4.6640625" style="2" bestFit="1" customWidth="1"/>
    <col min="2" max="2" width="19" style="2" hidden="1" customWidth="1"/>
    <col min="3" max="3" width="17.88671875" style="3" hidden="1" customWidth="1"/>
    <col min="4" max="4" width="51.88671875" style="3" hidden="1" customWidth="1"/>
    <col min="5" max="5" width="24.88671875" style="3" hidden="1" customWidth="1"/>
    <col min="6" max="6" width="22.109375" style="2" hidden="1" customWidth="1"/>
    <col min="7" max="7" width="18.44140625" style="2" hidden="1" customWidth="1"/>
    <col min="8" max="8" width="26.88671875" style="2" hidden="1" customWidth="1"/>
    <col min="9" max="9" width="26.88671875" style="34" hidden="1" customWidth="1"/>
    <col min="10" max="10" width="15.33203125" style="2" hidden="1" customWidth="1"/>
    <col min="11" max="11" width="27.6640625" style="3" hidden="1" customWidth="1"/>
    <col min="12" max="12" width="27.6640625" style="2" hidden="1" customWidth="1"/>
    <col min="13" max="13" width="27.6640625" style="34" hidden="1" customWidth="1"/>
    <col min="14" max="14" width="40.6640625" style="3" hidden="1" customWidth="1"/>
    <col min="15" max="16" width="25" style="3" hidden="1" customWidth="1"/>
    <col min="17" max="18" width="10.44140625" style="2" hidden="1" customWidth="1"/>
    <col min="19" max="20" width="4.6640625" style="2" hidden="1" customWidth="1"/>
    <col min="21" max="21" width="8.33203125" style="2" hidden="1" customWidth="1"/>
    <col min="22" max="25" width="4.6640625" style="2" hidden="1" customWidth="1"/>
    <col min="26" max="26" width="7.44140625" style="2" hidden="1" customWidth="1"/>
    <col min="27" max="27" width="0" style="2" hidden="1" customWidth="1"/>
    <col min="28" max="28" width="35.44140625" style="2" customWidth="1"/>
    <col min="29" max="29" width="14.88671875" style="2" customWidth="1"/>
    <col min="30" max="31" width="9.88671875" style="2" bestFit="1" customWidth="1"/>
    <col min="32" max="16384" width="9.109375" style="2"/>
  </cols>
  <sheetData>
    <row r="1" spans="1:30" ht="28.5" customHeight="1" x14ac:dyDescent="0.3">
      <c r="B1" s="198" t="s">
        <v>0</v>
      </c>
      <c r="C1" s="198"/>
      <c r="D1" s="198"/>
      <c r="E1" s="198"/>
      <c r="F1" s="202" t="s">
        <v>1</v>
      </c>
      <c r="G1" s="198"/>
      <c r="H1" s="203" t="s">
        <v>253</v>
      </c>
      <c r="I1" s="204"/>
      <c r="J1" s="204"/>
      <c r="K1" s="204"/>
      <c r="L1" s="204"/>
      <c r="M1" s="204"/>
      <c r="N1" s="204"/>
      <c r="O1" s="204"/>
      <c r="P1" s="204"/>
      <c r="Q1" s="205"/>
      <c r="R1" s="166"/>
      <c r="S1" s="206" t="s">
        <v>3</v>
      </c>
      <c r="T1" s="207"/>
      <c r="U1" s="207"/>
      <c r="V1" s="207"/>
      <c r="W1" s="207"/>
      <c r="X1" s="207"/>
      <c r="Y1" s="207"/>
      <c r="Z1" s="208"/>
      <c r="AA1" s="165" t="s">
        <v>4</v>
      </c>
    </row>
    <row r="2" spans="1:30" ht="43.2" x14ac:dyDescent="0.3">
      <c r="A2" s="1" t="s">
        <v>5</v>
      </c>
      <c r="B2" s="6" t="s">
        <v>6</v>
      </c>
      <c r="C2" s="5" t="s">
        <v>256</v>
      </c>
      <c r="D2" s="6" t="s">
        <v>8</v>
      </c>
      <c r="E2" s="5" t="s">
        <v>9</v>
      </c>
      <c r="F2" s="5" t="s">
        <v>10</v>
      </c>
      <c r="G2" s="5" t="s">
        <v>408</v>
      </c>
      <c r="H2" s="4" t="s">
        <v>14</v>
      </c>
      <c r="I2" s="55" t="s">
        <v>15</v>
      </c>
      <c r="J2" s="1" t="s">
        <v>16</v>
      </c>
      <c r="K2" s="1" t="s">
        <v>17</v>
      </c>
      <c r="L2" s="4" t="s">
        <v>409</v>
      </c>
      <c r="M2" s="55" t="s">
        <v>19</v>
      </c>
      <c r="N2" s="1" t="s">
        <v>20</v>
      </c>
      <c r="O2" s="7" t="s">
        <v>21</v>
      </c>
      <c r="P2" s="48" t="s">
        <v>22</v>
      </c>
      <c r="Q2" s="84" t="s">
        <v>257</v>
      </c>
      <c r="R2" s="84" t="s">
        <v>24</v>
      </c>
      <c r="S2" s="49" t="s">
        <v>25</v>
      </c>
      <c r="T2" s="15" t="s">
        <v>258</v>
      </c>
      <c r="U2" s="15" t="s">
        <v>259</v>
      </c>
      <c r="V2" s="15" t="s">
        <v>260</v>
      </c>
      <c r="W2" s="15" t="s">
        <v>261</v>
      </c>
      <c r="X2" s="15" t="s">
        <v>262</v>
      </c>
      <c r="Y2" s="15" t="s">
        <v>263</v>
      </c>
      <c r="Z2" s="15" t="s">
        <v>264</v>
      </c>
      <c r="AA2" s="130" t="s">
        <v>4</v>
      </c>
      <c r="AB2" s="54" t="s">
        <v>32</v>
      </c>
      <c r="AC2" s="93" t="s">
        <v>33</v>
      </c>
    </row>
    <row r="3" spans="1:30" ht="72" x14ac:dyDescent="0.3">
      <c r="A3" s="121">
        <v>3</v>
      </c>
      <c r="B3" s="45" t="s">
        <v>273</v>
      </c>
      <c r="C3" s="93" t="s">
        <v>274</v>
      </c>
      <c r="D3" s="93" t="s">
        <v>275</v>
      </c>
      <c r="E3" s="93" t="s">
        <v>276</v>
      </c>
      <c r="F3" s="63">
        <v>12132</v>
      </c>
      <c r="G3" s="126">
        <v>0.1</v>
      </c>
      <c r="H3" s="92">
        <v>5000</v>
      </c>
      <c r="I3" s="92">
        <v>5000</v>
      </c>
      <c r="J3" s="93" t="s">
        <v>277</v>
      </c>
      <c r="K3" s="93" t="s">
        <v>278</v>
      </c>
      <c r="L3" s="92">
        <v>2500</v>
      </c>
      <c r="M3" s="92">
        <v>2500</v>
      </c>
      <c r="N3" s="93" t="s">
        <v>279</v>
      </c>
      <c r="O3" s="52" t="s">
        <v>280</v>
      </c>
      <c r="P3" s="20" t="str">
        <f t="shared" ref="P3:P29" si="0">HYPERLINK("https://xgis.maaamet.ee/xgis2/page/app/teeregister?searchid=teeotsing&amp;roadid="&amp;F3&amp;"&amp;begin="&amp;G3&amp;"&amp;end="&amp;G3&amp;"","Kaart")</f>
        <v>Kaart</v>
      </c>
      <c r="Q3" s="65">
        <v>600.12926475699942</v>
      </c>
      <c r="R3" s="67">
        <v>459</v>
      </c>
      <c r="S3" s="78">
        <v>1</v>
      </c>
      <c r="T3" s="78">
        <v>0</v>
      </c>
      <c r="U3" s="78">
        <v>3</v>
      </c>
      <c r="V3" s="78">
        <v>2</v>
      </c>
      <c r="W3" s="54">
        <v>2</v>
      </c>
      <c r="X3" s="54">
        <v>1</v>
      </c>
      <c r="Y3" s="54">
        <v>1</v>
      </c>
      <c r="Z3" s="54">
        <v>0</v>
      </c>
      <c r="AA3" s="54" t="e">
        <f>IF(Q3&gt;10000,10000,Q3)/(I3-M3)*(S3*#REF!+T3*#REF!+U3*#REF!+V3*#REF!+W3*#REF!+X3*#REF!+Y3*#REF!+Z3*#REF!)</f>
        <v>#REF!</v>
      </c>
      <c r="AB3" s="54"/>
      <c r="AC3" s="92">
        <f>I3-M3</f>
        <v>2500</v>
      </c>
      <c r="AD3" s="34">
        <f>AC3</f>
        <v>2500</v>
      </c>
    </row>
    <row r="4" spans="1:30" ht="60.75" customHeight="1" x14ac:dyDescent="0.3">
      <c r="A4" s="121">
        <v>25</v>
      </c>
      <c r="B4" s="54" t="s">
        <v>361</v>
      </c>
      <c r="C4" s="105" t="s">
        <v>380</v>
      </c>
      <c r="D4" s="93" t="s">
        <v>381</v>
      </c>
      <c r="E4" s="93" t="s">
        <v>382</v>
      </c>
      <c r="F4" s="125">
        <v>45</v>
      </c>
      <c r="G4" s="111">
        <v>69.47</v>
      </c>
      <c r="H4" s="92" t="s">
        <v>383</v>
      </c>
      <c r="I4" s="58"/>
      <c r="J4" s="93" t="s">
        <v>384</v>
      </c>
      <c r="K4" s="93" t="s">
        <v>385</v>
      </c>
      <c r="L4" s="87" t="s">
        <v>386</v>
      </c>
      <c r="M4" s="87"/>
      <c r="N4" s="93" t="s">
        <v>387</v>
      </c>
      <c r="O4" s="123" t="s">
        <v>388</v>
      </c>
      <c r="P4" s="20" t="str">
        <f t="shared" si="0"/>
        <v>Kaart</v>
      </c>
      <c r="Q4" s="65">
        <v>916.38473153164864</v>
      </c>
      <c r="R4" s="66">
        <v>823</v>
      </c>
      <c r="S4" s="78">
        <v>0</v>
      </c>
      <c r="T4" s="79">
        <v>0</v>
      </c>
      <c r="U4" s="78">
        <v>0</v>
      </c>
      <c r="V4" s="78">
        <v>2</v>
      </c>
      <c r="W4" s="108">
        <v>0</v>
      </c>
      <c r="X4" s="108">
        <v>1</v>
      </c>
      <c r="Y4" s="108">
        <v>0</v>
      </c>
      <c r="Z4" s="108">
        <v>1</v>
      </c>
      <c r="AA4" s="54" t="e">
        <f>IF(Q4&gt;10000,10000,Q4)/(I4-M4)*(S4*#REF!+T4*#REF!+U4*#REF!+V4*#REF!+W4*#REF!+X4*#REF!+Y4*#REF!+Z4*#REF!)</f>
        <v>#DIV/0!</v>
      </c>
      <c r="AB4" s="54"/>
      <c r="AC4" s="92">
        <f t="shared" ref="AC4:AC32" si="1">I4-M4</f>
        <v>0</v>
      </c>
      <c r="AD4" s="34">
        <f>AD3+AC4</f>
        <v>2500</v>
      </c>
    </row>
    <row r="5" spans="1:30" ht="43.2" x14ac:dyDescent="0.3">
      <c r="A5" s="121">
        <v>28</v>
      </c>
      <c r="B5" s="45" t="s">
        <v>369</v>
      </c>
      <c r="C5" s="93" t="s">
        <v>389</v>
      </c>
      <c r="D5" s="93" t="s">
        <v>390</v>
      </c>
      <c r="E5" s="93" t="s">
        <v>391</v>
      </c>
      <c r="F5" s="125">
        <v>5</v>
      </c>
      <c r="G5" s="59">
        <v>142.12</v>
      </c>
      <c r="H5" s="38" t="s">
        <v>392</v>
      </c>
      <c r="I5" s="38">
        <v>3001</v>
      </c>
      <c r="J5" s="93" t="s">
        <v>374</v>
      </c>
      <c r="K5" s="93" t="s">
        <v>375</v>
      </c>
      <c r="L5" s="38" t="s">
        <v>393</v>
      </c>
      <c r="M5" s="38">
        <f>3000*0.3</f>
        <v>900</v>
      </c>
      <c r="N5" s="93" t="s">
        <v>375</v>
      </c>
      <c r="O5" s="94" t="s">
        <v>375</v>
      </c>
      <c r="P5" s="20" t="str">
        <f t="shared" si="0"/>
        <v>Kaart</v>
      </c>
      <c r="Q5" s="65">
        <v>5758.767444015707</v>
      </c>
      <c r="R5" s="67">
        <v>2444</v>
      </c>
      <c r="S5" s="78">
        <v>0</v>
      </c>
      <c r="T5" s="79">
        <v>0</v>
      </c>
      <c r="U5" s="78">
        <v>0</v>
      </c>
      <c r="V5" s="78">
        <v>2</v>
      </c>
      <c r="W5" s="54">
        <v>1</v>
      </c>
      <c r="X5" s="54">
        <v>0</v>
      </c>
      <c r="Y5" s="54">
        <v>2</v>
      </c>
      <c r="Z5" s="54">
        <v>0</v>
      </c>
      <c r="AA5" s="54" t="e">
        <f>IF(Q5&gt;10000,10000,Q5)/(I5-M5)*(S5*#REF!+T5*#REF!+U5*#REF!+V5*#REF!+W5*#REF!+X5*#REF!+Y5*#REF!+Z5*#REF!)</f>
        <v>#REF!</v>
      </c>
      <c r="AB5" s="54"/>
      <c r="AC5" s="92">
        <f t="shared" si="1"/>
        <v>2101</v>
      </c>
      <c r="AD5" s="34">
        <f t="shared" ref="AD5:AD32" si="2">AD4+AC5</f>
        <v>4601</v>
      </c>
    </row>
    <row r="6" spans="1:30" ht="72" x14ac:dyDescent="0.3">
      <c r="A6" s="121">
        <v>53</v>
      </c>
      <c r="B6" s="99" t="s">
        <v>69</v>
      </c>
      <c r="C6" s="42" t="s">
        <v>312</v>
      </c>
      <c r="D6" s="42" t="s">
        <v>313</v>
      </c>
      <c r="E6" s="42" t="s">
        <v>314</v>
      </c>
      <c r="F6" s="63">
        <v>20107</v>
      </c>
      <c r="G6" s="64">
        <v>4</v>
      </c>
      <c r="H6" s="25">
        <v>8000</v>
      </c>
      <c r="I6" s="25">
        <v>8000</v>
      </c>
      <c r="J6" s="42" t="s">
        <v>296</v>
      </c>
      <c r="K6" s="42" t="s">
        <v>74</v>
      </c>
      <c r="L6" s="100">
        <v>4000</v>
      </c>
      <c r="M6" s="100">
        <v>4000</v>
      </c>
      <c r="N6" s="42" t="s">
        <v>297</v>
      </c>
      <c r="O6" s="94" t="s">
        <v>315</v>
      </c>
      <c r="P6" s="20" t="str">
        <f t="shared" si="0"/>
        <v>Kaart</v>
      </c>
      <c r="Q6" s="65">
        <v>4505.5853585928744</v>
      </c>
      <c r="R6" s="67">
        <v>601</v>
      </c>
      <c r="S6" s="80">
        <v>2</v>
      </c>
      <c r="T6" s="79">
        <v>0</v>
      </c>
      <c r="U6" s="78">
        <v>1</v>
      </c>
      <c r="V6" s="78">
        <v>3</v>
      </c>
      <c r="W6" s="108">
        <v>2</v>
      </c>
      <c r="X6" s="108">
        <v>1</v>
      </c>
      <c r="Y6" s="108">
        <v>2</v>
      </c>
      <c r="Z6" s="124">
        <v>2</v>
      </c>
      <c r="AA6" s="54" t="e">
        <f>IF(Q6&gt;10000,10000,Q6)/(I6-M6)*(S6*#REF!+T6*#REF!+U6*#REF!+V6*#REF!+W6*#REF!+X6*#REF!+Y6*#REF!+Z6*#REF!)</f>
        <v>#REF!</v>
      </c>
      <c r="AB6" s="54"/>
      <c r="AC6" s="92">
        <f t="shared" si="1"/>
        <v>4000</v>
      </c>
      <c r="AD6" s="34">
        <f t="shared" si="2"/>
        <v>8601</v>
      </c>
    </row>
    <row r="7" spans="1:30" ht="43.2" x14ac:dyDescent="0.3">
      <c r="A7" s="121">
        <v>44</v>
      </c>
      <c r="B7" s="44" t="s">
        <v>34</v>
      </c>
      <c r="C7" s="93" t="s">
        <v>266</v>
      </c>
      <c r="D7" s="93" t="s">
        <v>267</v>
      </c>
      <c r="E7" s="93" t="s">
        <v>268</v>
      </c>
      <c r="F7" s="63">
        <v>37</v>
      </c>
      <c r="G7" s="111">
        <v>25</v>
      </c>
      <c r="H7" s="92">
        <v>15000</v>
      </c>
      <c r="I7" s="92">
        <v>4000</v>
      </c>
      <c r="J7" s="93" t="s">
        <v>38</v>
      </c>
      <c r="K7" s="93" t="s">
        <v>83</v>
      </c>
      <c r="L7" s="92"/>
      <c r="M7" s="92"/>
      <c r="N7" s="93" t="s">
        <v>269</v>
      </c>
      <c r="O7" s="94" t="s">
        <v>270</v>
      </c>
      <c r="P7" s="20" t="str">
        <f t="shared" si="0"/>
        <v>Kaart</v>
      </c>
      <c r="Q7" s="65">
        <v>4635.7352302565578</v>
      </c>
      <c r="R7" s="66">
        <v>1381</v>
      </c>
      <c r="S7" s="78">
        <v>1</v>
      </c>
      <c r="T7" s="79">
        <v>0</v>
      </c>
      <c r="U7" s="78">
        <v>0</v>
      </c>
      <c r="V7" s="79">
        <v>1</v>
      </c>
      <c r="W7" s="54">
        <v>1</v>
      </c>
      <c r="X7" s="54">
        <v>0</v>
      </c>
      <c r="Y7" s="54">
        <v>0</v>
      </c>
      <c r="Z7" s="54">
        <v>0</v>
      </c>
      <c r="AA7" s="54" t="e">
        <f>IF(Q7&gt;10000,10000,Q7)/(I7-M7)*(S7*#REF!+T7*#REF!+U7*#REF!+V7*#REF!+W7*#REF!+X7*#REF!+Y7*#REF!+Z7*#REF!)</f>
        <v>#REF!</v>
      </c>
      <c r="AB7" s="93" t="s">
        <v>271</v>
      </c>
      <c r="AC7" s="92">
        <f t="shared" si="1"/>
        <v>4000</v>
      </c>
      <c r="AD7" s="34">
        <f t="shared" si="2"/>
        <v>12601</v>
      </c>
    </row>
    <row r="8" spans="1:30" ht="57.6" x14ac:dyDescent="0.3">
      <c r="A8" s="121">
        <v>50</v>
      </c>
      <c r="B8" s="106" t="s">
        <v>69</v>
      </c>
      <c r="C8" s="59" t="s">
        <v>334</v>
      </c>
      <c r="D8" s="59" t="s">
        <v>335</v>
      </c>
      <c r="E8" s="42" t="s">
        <v>336</v>
      </c>
      <c r="F8" s="63">
        <v>15</v>
      </c>
      <c r="G8" s="64">
        <v>31</v>
      </c>
      <c r="H8" s="25">
        <v>16000</v>
      </c>
      <c r="I8" s="25">
        <v>16000</v>
      </c>
      <c r="J8" s="42" t="s">
        <v>296</v>
      </c>
      <c r="K8" s="42" t="s">
        <v>74</v>
      </c>
      <c r="L8" s="100">
        <v>8000</v>
      </c>
      <c r="M8" s="100">
        <v>8000</v>
      </c>
      <c r="N8" s="42" t="s">
        <v>319</v>
      </c>
      <c r="O8" s="94" t="s">
        <v>298</v>
      </c>
      <c r="P8" s="20" t="str">
        <f t="shared" si="0"/>
        <v>Kaart</v>
      </c>
      <c r="Q8" s="65">
        <v>4498.3870865872714</v>
      </c>
      <c r="R8" s="66">
        <v>946</v>
      </c>
      <c r="S8" s="78">
        <v>1</v>
      </c>
      <c r="T8" s="79">
        <v>0</v>
      </c>
      <c r="U8" s="78">
        <v>0</v>
      </c>
      <c r="V8" s="78">
        <v>3</v>
      </c>
      <c r="W8" s="108">
        <v>1</v>
      </c>
      <c r="X8" s="108">
        <v>1</v>
      </c>
      <c r="Y8" s="108">
        <v>1</v>
      </c>
      <c r="Z8" s="108">
        <v>0</v>
      </c>
      <c r="AA8" s="54" t="e">
        <f>IF(Q8&gt;10000,10000,Q8)/(I8-M8)*(S8*#REF!+T8*#REF!+U8*#REF!+V8*#REF!+W8*#REF!+X8*#REF!+Y8*#REF!+Z8*#REF!)</f>
        <v>#REF!</v>
      </c>
      <c r="AB8" s="54"/>
      <c r="AC8" s="92">
        <f t="shared" si="1"/>
        <v>8000</v>
      </c>
      <c r="AD8" s="34">
        <f t="shared" si="2"/>
        <v>20601</v>
      </c>
    </row>
    <row r="9" spans="1:30" ht="409.6" x14ac:dyDescent="0.3">
      <c r="A9" s="121">
        <v>39</v>
      </c>
      <c r="B9" s="45" t="s">
        <v>53</v>
      </c>
      <c r="C9" s="93" t="s">
        <v>282</v>
      </c>
      <c r="D9" s="93" t="s">
        <v>283</v>
      </c>
      <c r="E9" s="93" t="s">
        <v>284</v>
      </c>
      <c r="F9" s="127">
        <v>11251</v>
      </c>
      <c r="G9" s="111">
        <v>2.2999999999999998</v>
      </c>
      <c r="H9" s="40">
        <v>70000</v>
      </c>
      <c r="I9" s="92">
        <v>70000</v>
      </c>
      <c r="J9" s="24" t="s">
        <v>57</v>
      </c>
      <c r="K9" s="40" t="s">
        <v>58</v>
      </c>
      <c r="L9" s="40">
        <v>15000</v>
      </c>
      <c r="M9" s="92">
        <v>15000</v>
      </c>
      <c r="N9" s="24" t="s">
        <v>285</v>
      </c>
      <c r="O9" s="56" t="s">
        <v>286</v>
      </c>
      <c r="P9" s="61" t="str">
        <f t="shared" si="0"/>
        <v>Kaart</v>
      </c>
      <c r="Q9" s="68">
        <v>21528.248581520587</v>
      </c>
      <c r="R9" s="68">
        <v>5454</v>
      </c>
      <c r="S9" s="79">
        <v>1</v>
      </c>
      <c r="T9" s="79">
        <v>0</v>
      </c>
      <c r="U9" s="78">
        <v>1</v>
      </c>
      <c r="V9" s="79">
        <v>2</v>
      </c>
      <c r="W9" s="60">
        <v>1</v>
      </c>
      <c r="X9" s="60">
        <v>2</v>
      </c>
      <c r="Y9" s="60">
        <v>3</v>
      </c>
      <c r="Z9" s="60">
        <v>1</v>
      </c>
      <c r="AA9" s="54" t="e">
        <f>IF(Q9&gt;10000,10000,Q9)/(I9-M9)*(S9*#REF!+T9*#REF!+U9*#REF!+V9*#REF!+W9*#REF!+X9*#REF!+Y9*#REF!+Z9*#REF!)</f>
        <v>#REF!</v>
      </c>
      <c r="AB9" s="54"/>
      <c r="AC9" s="92">
        <f t="shared" si="1"/>
        <v>55000</v>
      </c>
      <c r="AD9" s="34">
        <f t="shared" si="2"/>
        <v>75601</v>
      </c>
    </row>
    <row r="10" spans="1:30" ht="72" x14ac:dyDescent="0.3">
      <c r="A10" s="121">
        <v>9</v>
      </c>
      <c r="B10" s="101" t="s">
        <v>43</v>
      </c>
      <c r="C10" s="19" t="s">
        <v>300</v>
      </c>
      <c r="D10" s="19" t="s">
        <v>301</v>
      </c>
      <c r="E10" s="19" t="s">
        <v>302</v>
      </c>
      <c r="F10" s="63">
        <v>22253</v>
      </c>
      <c r="G10" s="126">
        <v>0.50600000000000001</v>
      </c>
      <c r="H10" s="19" t="s">
        <v>303</v>
      </c>
      <c r="I10" s="102">
        <v>50000</v>
      </c>
      <c r="J10" s="19" t="s">
        <v>179</v>
      </c>
      <c r="K10" s="19" t="s">
        <v>83</v>
      </c>
      <c r="L10" s="19" t="s">
        <v>304</v>
      </c>
      <c r="M10" s="87">
        <v>0</v>
      </c>
      <c r="N10" s="19" t="s">
        <v>303</v>
      </c>
      <c r="O10" s="94" t="s">
        <v>272</v>
      </c>
      <c r="P10" s="20" t="str">
        <f t="shared" si="0"/>
        <v>Kaart</v>
      </c>
      <c r="Q10" s="65">
        <v>76449.027679729072</v>
      </c>
      <c r="R10" s="67">
        <v>1358</v>
      </c>
      <c r="S10" s="78">
        <v>0</v>
      </c>
      <c r="T10" s="78">
        <v>0</v>
      </c>
      <c r="U10" s="78">
        <v>0</v>
      </c>
      <c r="V10" s="78">
        <v>2</v>
      </c>
      <c r="W10" s="54">
        <v>1</v>
      </c>
      <c r="X10" s="54">
        <v>2</v>
      </c>
      <c r="Y10" s="54">
        <v>3</v>
      </c>
      <c r="Z10" s="91">
        <v>1</v>
      </c>
      <c r="AA10" s="54" t="e">
        <f>IF(Q10&gt;10000,10000,Q10)/(I10-M10)*(S10*#REF!+T10*#REF!+U10*#REF!+V10*#REF!+W10*#REF!+X10*#REF!+Y10*#REF!+Z10*#REF!)</f>
        <v>#REF!</v>
      </c>
      <c r="AB10" s="119" t="s">
        <v>410</v>
      </c>
      <c r="AC10" s="92">
        <f t="shared" si="1"/>
        <v>50000</v>
      </c>
      <c r="AD10" s="34">
        <f t="shared" si="2"/>
        <v>125601</v>
      </c>
    </row>
    <row r="11" spans="1:30" ht="72" x14ac:dyDescent="0.3">
      <c r="A11" s="121">
        <v>9</v>
      </c>
      <c r="B11" s="101" t="s">
        <v>43</v>
      </c>
      <c r="C11" s="19" t="s">
        <v>300</v>
      </c>
      <c r="D11" s="19" t="s">
        <v>301</v>
      </c>
      <c r="E11" s="19" t="s">
        <v>302</v>
      </c>
      <c r="F11" s="63">
        <v>22253</v>
      </c>
      <c r="G11" s="126">
        <v>2.15</v>
      </c>
      <c r="H11" s="19" t="s">
        <v>303</v>
      </c>
      <c r="I11" s="102">
        <v>50000</v>
      </c>
      <c r="J11" s="19" t="s">
        <v>179</v>
      </c>
      <c r="K11" s="19" t="s">
        <v>83</v>
      </c>
      <c r="L11" s="19" t="s">
        <v>304</v>
      </c>
      <c r="M11" s="87">
        <v>0</v>
      </c>
      <c r="N11" s="19" t="s">
        <v>303</v>
      </c>
      <c r="O11" s="94" t="s">
        <v>272</v>
      </c>
      <c r="P11" s="20" t="str">
        <f t="shared" si="0"/>
        <v>Kaart</v>
      </c>
      <c r="Q11" s="65">
        <v>52194.672942406789</v>
      </c>
      <c r="R11" s="67">
        <v>1358</v>
      </c>
      <c r="S11" s="78">
        <v>0</v>
      </c>
      <c r="T11" s="78">
        <v>0</v>
      </c>
      <c r="U11" s="78">
        <v>0</v>
      </c>
      <c r="V11" s="78">
        <v>2</v>
      </c>
      <c r="W11" s="54">
        <v>1</v>
      </c>
      <c r="X11" s="54">
        <v>2</v>
      </c>
      <c r="Y11" s="54">
        <v>3</v>
      </c>
      <c r="Z11" s="54">
        <v>1</v>
      </c>
      <c r="AA11" s="54" t="e">
        <f>IF(Q11&gt;10000,10000,Q11)/(I11-M11)*(S11*#REF!+T11*#REF!+U11*#REF!+V11*#REF!+W11*#REF!+X11*#REF!+Y11*#REF!+Z11*#REF!)</f>
        <v>#REF!</v>
      </c>
      <c r="AB11" s="119" t="s">
        <v>410</v>
      </c>
      <c r="AC11" s="92">
        <f t="shared" si="1"/>
        <v>50000</v>
      </c>
      <c r="AD11" s="34">
        <f t="shared" si="2"/>
        <v>175601</v>
      </c>
    </row>
    <row r="12" spans="1:30" ht="72" x14ac:dyDescent="0.3">
      <c r="A12" s="121">
        <v>9</v>
      </c>
      <c r="B12" s="101" t="s">
        <v>43</v>
      </c>
      <c r="C12" s="19" t="s">
        <v>300</v>
      </c>
      <c r="D12" s="19" t="s">
        <v>301</v>
      </c>
      <c r="E12" s="19" t="s">
        <v>302</v>
      </c>
      <c r="F12" s="63">
        <v>22253</v>
      </c>
      <c r="G12" s="126">
        <v>3.52</v>
      </c>
      <c r="H12" s="19" t="s">
        <v>303</v>
      </c>
      <c r="I12" s="102">
        <v>50000</v>
      </c>
      <c r="J12" s="19" t="s">
        <v>179</v>
      </c>
      <c r="K12" s="19" t="s">
        <v>83</v>
      </c>
      <c r="L12" s="19" t="s">
        <v>304</v>
      </c>
      <c r="M12" s="87">
        <v>0</v>
      </c>
      <c r="N12" s="19" t="s">
        <v>303</v>
      </c>
      <c r="O12" s="94" t="s">
        <v>272</v>
      </c>
      <c r="P12" s="20" t="str">
        <f t="shared" si="0"/>
        <v>Kaart</v>
      </c>
      <c r="Q12" s="65">
        <v>32645.389670281147</v>
      </c>
      <c r="R12" s="67">
        <v>1358</v>
      </c>
      <c r="S12" s="78">
        <v>0</v>
      </c>
      <c r="T12" s="78">
        <v>0</v>
      </c>
      <c r="U12" s="78">
        <v>0</v>
      </c>
      <c r="V12" s="78">
        <v>2</v>
      </c>
      <c r="W12" s="54">
        <v>1</v>
      </c>
      <c r="X12" s="54">
        <v>2</v>
      </c>
      <c r="Y12" s="54">
        <v>3</v>
      </c>
      <c r="Z12" s="54">
        <v>1</v>
      </c>
      <c r="AA12" s="54" t="e">
        <f>IF(Q12&gt;10000,10000,Q12)/(I12-M12)*(S12*#REF!+T12*#REF!+U12*#REF!+V12*#REF!+W12*#REF!+X12*#REF!+Y12*#REF!+Z12*#REF!)</f>
        <v>#REF!</v>
      </c>
      <c r="AB12" s="119" t="s">
        <v>410</v>
      </c>
      <c r="AC12" s="92">
        <f t="shared" si="1"/>
        <v>50000</v>
      </c>
      <c r="AD12" s="34">
        <f t="shared" si="2"/>
        <v>225601</v>
      </c>
    </row>
    <row r="13" spans="1:30" ht="259.2" x14ac:dyDescent="0.3">
      <c r="A13" s="121">
        <v>27</v>
      </c>
      <c r="B13" s="44" t="s">
        <v>305</v>
      </c>
      <c r="C13" s="93" t="s">
        <v>306</v>
      </c>
      <c r="D13" s="93" t="s">
        <v>307</v>
      </c>
      <c r="E13" s="93" t="s">
        <v>308</v>
      </c>
      <c r="F13" s="63">
        <v>1</v>
      </c>
      <c r="G13" s="111">
        <v>185.7</v>
      </c>
      <c r="H13" s="92">
        <v>80000</v>
      </c>
      <c r="I13" s="92">
        <v>80000</v>
      </c>
      <c r="J13" s="93" t="s">
        <v>309</v>
      </c>
      <c r="K13" s="93" t="s">
        <v>310</v>
      </c>
      <c r="L13" s="92">
        <v>10000</v>
      </c>
      <c r="M13" s="92">
        <v>10000</v>
      </c>
      <c r="N13" s="93" t="s">
        <v>311</v>
      </c>
      <c r="O13" s="94"/>
      <c r="P13" s="20" t="str">
        <f t="shared" si="0"/>
        <v>Kaart</v>
      </c>
      <c r="Q13" s="65">
        <v>12407.196490292006</v>
      </c>
      <c r="R13" s="67">
        <v>8515</v>
      </c>
      <c r="S13" s="78">
        <v>2</v>
      </c>
      <c r="T13" s="79">
        <v>0</v>
      </c>
      <c r="U13" s="78">
        <v>0</v>
      </c>
      <c r="V13" s="78">
        <v>2</v>
      </c>
      <c r="W13" s="54">
        <v>2</v>
      </c>
      <c r="X13" s="54">
        <v>1</v>
      </c>
      <c r="Y13" s="54">
        <v>2</v>
      </c>
      <c r="Z13" s="54">
        <v>3</v>
      </c>
      <c r="AA13" s="54" t="e">
        <f>IF(Q13&gt;10000,10000,Q13)/(I13-M13)*(S13*#REF!+T13*#REF!+U13*#REF!+V13*#REF!+W13*#REF!+X13*#REF!+Y13*#REF!+Z13*#REF!)</f>
        <v>#REF!</v>
      </c>
      <c r="AB13" s="54"/>
      <c r="AC13" s="92">
        <f t="shared" si="1"/>
        <v>70000</v>
      </c>
      <c r="AD13" s="34">
        <f t="shared" si="2"/>
        <v>295601</v>
      </c>
    </row>
    <row r="14" spans="1:30" ht="72" x14ac:dyDescent="0.3">
      <c r="A14" s="121">
        <v>48</v>
      </c>
      <c r="B14" s="99" t="s">
        <v>69</v>
      </c>
      <c r="C14" s="42" t="s">
        <v>362</v>
      </c>
      <c r="D14" s="42" t="s">
        <v>363</v>
      </c>
      <c r="E14" s="42" t="s">
        <v>364</v>
      </c>
      <c r="F14" s="63">
        <v>11202</v>
      </c>
      <c r="G14" s="64">
        <v>23</v>
      </c>
      <c r="H14" s="25">
        <v>8000</v>
      </c>
      <c r="I14" s="25">
        <v>8000</v>
      </c>
      <c r="J14" s="42" t="s">
        <v>296</v>
      </c>
      <c r="K14" s="42" t="s">
        <v>74</v>
      </c>
      <c r="L14" s="100">
        <v>4000</v>
      </c>
      <c r="M14" s="100">
        <v>4000</v>
      </c>
      <c r="N14" s="42" t="s">
        <v>297</v>
      </c>
      <c r="O14" s="94" t="s">
        <v>298</v>
      </c>
      <c r="P14" s="20" t="str">
        <f t="shared" si="0"/>
        <v>Kaart</v>
      </c>
      <c r="Q14" s="65">
        <v>1591.140208689111</v>
      </c>
      <c r="R14" s="67">
        <v>708</v>
      </c>
      <c r="S14" s="78">
        <v>2</v>
      </c>
      <c r="T14" s="79">
        <v>0</v>
      </c>
      <c r="U14" s="78">
        <v>0</v>
      </c>
      <c r="V14" s="78">
        <v>3</v>
      </c>
      <c r="W14" s="108">
        <v>0</v>
      </c>
      <c r="X14" s="108">
        <v>0</v>
      </c>
      <c r="Y14" s="108">
        <v>1</v>
      </c>
      <c r="Z14" s="108">
        <v>0</v>
      </c>
      <c r="AA14" s="54" t="e">
        <f>IF(Q14&gt;10000,10000,Q14)/(I14-M14)*(S14*#REF!+T14*#REF!+U14*#REF!+V14*#REF!+W14*#REF!+X14*#REF!+Y14*#REF!+Z14*#REF!)</f>
        <v>#REF!</v>
      </c>
      <c r="AB14" s="54"/>
      <c r="AC14" s="92">
        <f t="shared" si="1"/>
        <v>4000</v>
      </c>
      <c r="AD14" s="34">
        <f t="shared" si="2"/>
        <v>299601</v>
      </c>
    </row>
    <row r="15" spans="1:30" ht="409.6" x14ac:dyDescent="0.3">
      <c r="A15" s="121">
        <v>40</v>
      </c>
      <c r="B15" s="44" t="s">
        <v>53</v>
      </c>
      <c r="C15" s="93" t="s">
        <v>320</v>
      </c>
      <c r="D15" s="93" t="s">
        <v>321</v>
      </c>
      <c r="E15" s="93" t="s">
        <v>322</v>
      </c>
      <c r="F15" s="63">
        <v>11251</v>
      </c>
      <c r="G15" s="111">
        <v>2.6</v>
      </c>
      <c r="H15" s="92">
        <v>60000</v>
      </c>
      <c r="I15" s="92">
        <v>80000</v>
      </c>
      <c r="J15" s="93" t="s">
        <v>57</v>
      </c>
      <c r="K15" s="93" t="s">
        <v>58</v>
      </c>
      <c r="L15" s="92">
        <v>12000</v>
      </c>
      <c r="M15" s="92">
        <v>12000</v>
      </c>
      <c r="N15" s="39" t="s">
        <v>285</v>
      </c>
      <c r="O15" s="94" t="s">
        <v>323</v>
      </c>
      <c r="P15" s="20" t="str">
        <f t="shared" si="0"/>
        <v>Kaart</v>
      </c>
      <c r="Q15" s="65">
        <v>18952.90999435401</v>
      </c>
      <c r="R15" s="67">
        <v>5454</v>
      </c>
      <c r="S15" s="78">
        <v>1</v>
      </c>
      <c r="T15" s="79">
        <v>0</v>
      </c>
      <c r="U15" s="78">
        <v>0</v>
      </c>
      <c r="V15" s="78">
        <v>2</v>
      </c>
      <c r="W15" s="54">
        <v>1</v>
      </c>
      <c r="X15" s="54">
        <v>1</v>
      </c>
      <c r="Y15" s="54">
        <v>3</v>
      </c>
      <c r="Z15" s="54">
        <v>1</v>
      </c>
      <c r="AA15" s="54" t="e">
        <f>IF(Q15&gt;10000,10000,Q15)/(I15-M15)*(S15*#REF!+T15*#REF!+U15*#REF!+V15*#REF!+W15*#REF!+X15*#REF!+Y15*#REF!+Z15*#REF!)</f>
        <v>#REF!</v>
      </c>
      <c r="AB15" s="54"/>
      <c r="AC15" s="92">
        <f t="shared" si="1"/>
        <v>68000</v>
      </c>
      <c r="AD15" s="34">
        <f t="shared" si="2"/>
        <v>367601</v>
      </c>
    </row>
    <row r="16" spans="1:30" ht="72" x14ac:dyDescent="0.3">
      <c r="A16" s="121">
        <v>57</v>
      </c>
      <c r="B16" s="99" t="s">
        <v>69</v>
      </c>
      <c r="C16" s="42" t="s">
        <v>324</v>
      </c>
      <c r="D16" s="42" t="s">
        <v>325</v>
      </c>
      <c r="E16" s="42" t="s">
        <v>326</v>
      </c>
      <c r="F16" s="63">
        <v>20107</v>
      </c>
      <c r="G16" s="64">
        <v>5.2</v>
      </c>
      <c r="H16" s="25">
        <v>10000</v>
      </c>
      <c r="I16" s="25">
        <v>50000</v>
      </c>
      <c r="J16" s="42" t="s">
        <v>296</v>
      </c>
      <c r="K16" s="42" t="s">
        <v>74</v>
      </c>
      <c r="L16" s="100">
        <v>5000</v>
      </c>
      <c r="M16" s="100">
        <v>5000</v>
      </c>
      <c r="N16" s="42" t="s">
        <v>319</v>
      </c>
      <c r="O16" s="94" t="s">
        <v>298</v>
      </c>
      <c r="P16" s="20" t="str">
        <f t="shared" si="0"/>
        <v>Kaart</v>
      </c>
      <c r="Q16" s="65">
        <v>4440.4908744659097</v>
      </c>
      <c r="R16" s="67">
        <v>1531</v>
      </c>
      <c r="S16" s="78">
        <v>1</v>
      </c>
      <c r="T16" s="79">
        <v>0</v>
      </c>
      <c r="U16" s="78">
        <v>0</v>
      </c>
      <c r="V16" s="78">
        <v>3</v>
      </c>
      <c r="W16" s="54">
        <v>2</v>
      </c>
      <c r="X16" s="54">
        <v>1</v>
      </c>
      <c r="Y16" s="54">
        <v>2</v>
      </c>
      <c r="Z16" s="54">
        <v>0</v>
      </c>
      <c r="AA16" s="54" t="e">
        <f>IF(Q16&gt;10000,10000,Q16)/(I16-M16)*(S16*#REF!+T16*#REF!+U16*#REF!+V16*#REF!+W16*#REF!+X16*#REF!+Y16*#REF!+Z16*#REF!)</f>
        <v>#REF!</v>
      </c>
      <c r="AB16" s="54"/>
      <c r="AC16" s="92">
        <f t="shared" si="1"/>
        <v>45000</v>
      </c>
      <c r="AD16" s="34">
        <f t="shared" si="2"/>
        <v>412601</v>
      </c>
    </row>
    <row r="17" spans="1:35" ht="409.6" x14ac:dyDescent="0.3">
      <c r="A17" s="121">
        <v>35</v>
      </c>
      <c r="B17" s="44" t="s">
        <v>53</v>
      </c>
      <c r="C17" s="93" t="s">
        <v>394</v>
      </c>
      <c r="D17" s="23" t="s">
        <v>395</v>
      </c>
      <c r="E17" s="93" t="s">
        <v>396</v>
      </c>
      <c r="F17" s="63">
        <v>11254</v>
      </c>
      <c r="G17" s="111">
        <v>2.2000000000000002</v>
      </c>
      <c r="H17" s="37">
        <v>70000</v>
      </c>
      <c r="I17" s="37">
        <v>70000</v>
      </c>
      <c r="J17" s="33" t="s">
        <v>57</v>
      </c>
      <c r="K17" s="33" t="s">
        <v>58</v>
      </c>
      <c r="L17" s="37">
        <v>12000</v>
      </c>
      <c r="M17" s="37">
        <v>12000</v>
      </c>
      <c r="N17" s="23" t="s">
        <v>397</v>
      </c>
      <c r="O17" s="94" t="s">
        <v>398</v>
      </c>
      <c r="P17" s="20" t="str">
        <f t="shared" si="0"/>
        <v>Kaart</v>
      </c>
      <c r="Q17" s="65">
        <v>40496.745802477351</v>
      </c>
      <c r="R17" s="67">
        <v>1826</v>
      </c>
      <c r="S17" s="78">
        <v>1</v>
      </c>
      <c r="T17" s="79">
        <v>0</v>
      </c>
      <c r="U17" s="78">
        <v>1</v>
      </c>
      <c r="V17" s="78">
        <v>2</v>
      </c>
      <c r="W17" s="54">
        <v>0</v>
      </c>
      <c r="X17" s="54">
        <v>0</v>
      </c>
      <c r="Y17" s="54">
        <v>3</v>
      </c>
      <c r="Z17" s="54">
        <v>0</v>
      </c>
      <c r="AA17" s="54" t="e">
        <f>IF(Q17&gt;10000,10000,Q17)/(I17-M17)*(S17*#REF!+T17*#REF!+U17*#REF!+V17*#REF!+W17*#REF!+X17*#REF!+Y17*#REF!+Z17*#REF!)</f>
        <v>#REF!</v>
      </c>
      <c r="AB17" s="54"/>
      <c r="AC17" s="92">
        <f t="shared" si="1"/>
        <v>58000</v>
      </c>
      <c r="AD17" s="34">
        <f t="shared" si="2"/>
        <v>470601</v>
      </c>
    </row>
    <row r="18" spans="1:35" ht="57.6" x14ac:dyDescent="0.3">
      <c r="A18" s="121">
        <v>18</v>
      </c>
      <c r="B18" s="44" t="s">
        <v>43</v>
      </c>
      <c r="C18" s="93" t="s">
        <v>327</v>
      </c>
      <c r="D18" s="93" t="s">
        <v>328</v>
      </c>
      <c r="E18" s="93" t="s">
        <v>329</v>
      </c>
      <c r="F18" s="63">
        <v>22154</v>
      </c>
      <c r="G18" s="113">
        <v>3.44</v>
      </c>
      <c r="H18" s="92">
        <v>50000</v>
      </c>
      <c r="I18" s="92">
        <v>50000</v>
      </c>
      <c r="J18" s="93" t="s">
        <v>330</v>
      </c>
      <c r="K18" s="93" t="s">
        <v>331</v>
      </c>
      <c r="L18" s="92">
        <v>15000</v>
      </c>
      <c r="M18" s="92">
        <v>15000</v>
      </c>
      <c r="N18" s="93" t="s">
        <v>332</v>
      </c>
      <c r="O18" s="94" t="s">
        <v>333</v>
      </c>
      <c r="P18" s="20" t="str">
        <f t="shared" si="0"/>
        <v>Kaart</v>
      </c>
      <c r="Q18" s="65">
        <v>3159.8566714806739</v>
      </c>
      <c r="R18" s="67">
        <v>1219</v>
      </c>
      <c r="S18" s="78">
        <v>1</v>
      </c>
      <c r="T18" s="79">
        <v>0</v>
      </c>
      <c r="U18" s="78">
        <v>0</v>
      </c>
      <c r="V18" s="78">
        <v>2</v>
      </c>
      <c r="W18" s="108">
        <v>2</v>
      </c>
      <c r="X18" s="108">
        <v>2</v>
      </c>
      <c r="Y18" s="108">
        <v>2</v>
      </c>
      <c r="Z18" s="108">
        <v>0</v>
      </c>
      <c r="AA18" s="54" t="e">
        <f>IF(Q18&gt;10000,10000,Q18)/(I18-M18)*(S18*#REF!+T18*#REF!+U18*#REF!+V18*#REF!+W18*#REF!+X18*#REF!+Y18*#REF!+Z18*#REF!)</f>
        <v>#REF!</v>
      </c>
      <c r="AB18" s="54"/>
      <c r="AC18" s="92">
        <f t="shared" si="1"/>
        <v>35000</v>
      </c>
      <c r="AD18" s="34">
        <f t="shared" si="2"/>
        <v>505601</v>
      </c>
    </row>
    <row r="19" spans="1:35" ht="72" x14ac:dyDescent="0.3">
      <c r="A19" s="121">
        <v>52</v>
      </c>
      <c r="B19" s="99" t="s">
        <v>69</v>
      </c>
      <c r="C19" s="42" t="s">
        <v>399</v>
      </c>
      <c r="D19" s="42" t="s">
        <v>400</v>
      </c>
      <c r="E19" s="42" t="s">
        <v>401</v>
      </c>
      <c r="F19" s="63">
        <v>11202</v>
      </c>
      <c r="G19" s="64">
        <v>22</v>
      </c>
      <c r="H19" s="25">
        <v>16000</v>
      </c>
      <c r="I19" s="25">
        <v>16000</v>
      </c>
      <c r="J19" s="42" t="s">
        <v>296</v>
      </c>
      <c r="K19" s="42" t="s">
        <v>74</v>
      </c>
      <c r="L19" s="100">
        <v>8000</v>
      </c>
      <c r="M19" s="100">
        <v>8000</v>
      </c>
      <c r="N19" s="42" t="s">
        <v>319</v>
      </c>
      <c r="O19" s="94" t="s">
        <v>298</v>
      </c>
      <c r="P19" s="20" t="str">
        <f t="shared" si="0"/>
        <v>Kaart</v>
      </c>
      <c r="Q19" s="65">
        <v>961.52666993289404</v>
      </c>
      <c r="R19" s="67">
        <v>708</v>
      </c>
      <c r="S19" s="78">
        <v>1</v>
      </c>
      <c r="T19" s="79">
        <v>0</v>
      </c>
      <c r="U19" s="78">
        <v>0</v>
      </c>
      <c r="V19" s="78">
        <v>3</v>
      </c>
      <c r="W19" s="108">
        <v>1</v>
      </c>
      <c r="X19" s="108">
        <v>2</v>
      </c>
      <c r="Y19" s="108">
        <v>1</v>
      </c>
      <c r="Z19" s="108">
        <v>0</v>
      </c>
      <c r="AA19" s="54" t="e">
        <f>IF(Q19&gt;10000,10000,Q19)/(I19-M19)*(S19*#REF!+T19*#REF!+U19*#REF!+V19*#REF!+W19*#REF!+X19*#REF!+Y19*#REF!+Z19*#REF!)</f>
        <v>#REF!</v>
      </c>
      <c r="AB19" s="93" t="s">
        <v>411</v>
      </c>
      <c r="AC19" s="92">
        <f t="shared" si="1"/>
        <v>8000</v>
      </c>
      <c r="AD19" s="34">
        <f t="shared" si="2"/>
        <v>513601</v>
      </c>
    </row>
    <row r="20" spans="1:35" ht="409.6" x14ac:dyDescent="0.3">
      <c r="A20" s="121">
        <v>38</v>
      </c>
      <c r="B20" s="44" t="s">
        <v>53</v>
      </c>
      <c r="C20" s="93" t="s">
        <v>337</v>
      </c>
      <c r="D20" s="93" t="s">
        <v>338</v>
      </c>
      <c r="E20" s="93" t="s">
        <v>339</v>
      </c>
      <c r="F20" s="63">
        <v>11251</v>
      </c>
      <c r="G20" s="111">
        <v>3.7</v>
      </c>
      <c r="H20" s="92">
        <v>70000</v>
      </c>
      <c r="I20" s="92">
        <v>150000</v>
      </c>
      <c r="J20" s="93" t="s">
        <v>57</v>
      </c>
      <c r="K20" s="93" t="s">
        <v>58</v>
      </c>
      <c r="L20" s="92">
        <v>17500</v>
      </c>
      <c r="M20" s="92">
        <v>17500</v>
      </c>
      <c r="N20" s="39" t="s">
        <v>285</v>
      </c>
      <c r="O20" s="94" t="s">
        <v>323</v>
      </c>
      <c r="P20" s="20" t="str">
        <f t="shared" si="0"/>
        <v>Kaart</v>
      </c>
      <c r="Q20" s="65">
        <v>15402.786433345102</v>
      </c>
      <c r="R20" s="67">
        <v>5454</v>
      </c>
      <c r="S20" s="78">
        <v>1</v>
      </c>
      <c r="T20" s="79">
        <v>0</v>
      </c>
      <c r="U20" s="78">
        <v>0</v>
      </c>
      <c r="V20" s="78">
        <v>2</v>
      </c>
      <c r="W20" s="54">
        <v>1</v>
      </c>
      <c r="X20" s="54">
        <v>2</v>
      </c>
      <c r="Y20" s="54">
        <v>3</v>
      </c>
      <c r="Z20" s="54">
        <v>1</v>
      </c>
      <c r="AA20" s="54" t="e">
        <f>IF(Q20&gt;10000,10000,Q20)/(I20-M20)*(S20*#REF!+T20*#REF!+U20*#REF!+V20*#REF!+W20*#REF!+X20*#REF!+Y20*#REF!+Z20*#REF!)</f>
        <v>#REF!</v>
      </c>
      <c r="AB20" s="54"/>
      <c r="AC20" s="92">
        <f t="shared" si="1"/>
        <v>132500</v>
      </c>
      <c r="AD20" s="34">
        <f t="shared" si="2"/>
        <v>646101</v>
      </c>
    </row>
    <row r="21" spans="1:35" ht="72" x14ac:dyDescent="0.3">
      <c r="A21" s="121">
        <v>56</v>
      </c>
      <c r="B21" s="41" t="s">
        <v>69</v>
      </c>
      <c r="C21" s="42" t="s">
        <v>316</v>
      </c>
      <c r="D21" s="42" t="s">
        <v>317</v>
      </c>
      <c r="E21" s="42" t="s">
        <v>318</v>
      </c>
      <c r="F21" s="63">
        <v>15</v>
      </c>
      <c r="G21" s="64">
        <v>25</v>
      </c>
      <c r="H21" s="25">
        <v>16000</v>
      </c>
      <c r="I21" s="58">
        <v>100000</v>
      </c>
      <c r="J21" s="42" t="s">
        <v>296</v>
      </c>
      <c r="K21" s="42" t="s">
        <v>74</v>
      </c>
      <c r="L21" s="100">
        <v>8000</v>
      </c>
      <c r="M21" s="100">
        <v>8000</v>
      </c>
      <c r="N21" s="42" t="s">
        <v>297</v>
      </c>
      <c r="O21" s="94" t="s">
        <v>315</v>
      </c>
      <c r="P21" s="20" t="str">
        <f t="shared" si="0"/>
        <v>Kaart</v>
      </c>
      <c r="Q21" s="65">
        <v>4624.4950712334321</v>
      </c>
      <c r="R21" s="66">
        <v>7166</v>
      </c>
      <c r="S21" s="78">
        <v>2</v>
      </c>
      <c r="T21" s="79">
        <v>0</v>
      </c>
      <c r="U21" s="78">
        <v>1</v>
      </c>
      <c r="V21" s="78">
        <v>3</v>
      </c>
      <c r="W21" s="54">
        <v>2</v>
      </c>
      <c r="X21" s="54">
        <v>2</v>
      </c>
      <c r="Y21" s="54">
        <v>2</v>
      </c>
      <c r="Z21" s="54">
        <v>1</v>
      </c>
      <c r="AA21" s="54" t="e">
        <f>IF(Q21&gt;10000,10000,Q21)/(I21-M21)*(S21*#REF!+T21*#REF!+U21*#REF!+V21*#REF!+W21*#REF!+X21*#REF!+Y21*#REF!+Z21*#REF!)</f>
        <v>#REF!</v>
      </c>
      <c r="AB21" s="54"/>
      <c r="AC21" s="92">
        <f t="shared" si="1"/>
        <v>92000</v>
      </c>
      <c r="AD21" s="34">
        <f t="shared" si="2"/>
        <v>738101</v>
      </c>
    </row>
    <row r="22" spans="1:35" ht="72" x14ac:dyDescent="0.3">
      <c r="A22" s="121">
        <v>9</v>
      </c>
      <c r="B22" s="103" t="s">
        <v>43</v>
      </c>
      <c r="C22" s="19" t="s">
        <v>300</v>
      </c>
      <c r="D22" s="19" t="s">
        <v>301</v>
      </c>
      <c r="E22" s="19" t="s">
        <v>302</v>
      </c>
      <c r="F22" s="63">
        <v>22253</v>
      </c>
      <c r="G22" s="126">
        <v>5.47</v>
      </c>
      <c r="H22" s="19" t="s">
        <v>303</v>
      </c>
      <c r="I22" s="102">
        <v>50000</v>
      </c>
      <c r="J22" s="19" t="s">
        <v>179</v>
      </c>
      <c r="K22" s="19" t="s">
        <v>83</v>
      </c>
      <c r="L22" s="19" t="s">
        <v>304</v>
      </c>
      <c r="M22" s="87">
        <v>0</v>
      </c>
      <c r="N22" s="19" t="s">
        <v>303</v>
      </c>
      <c r="O22" s="123" t="s">
        <v>272</v>
      </c>
      <c r="P22" s="20" t="str">
        <f t="shared" si="0"/>
        <v>Kaart</v>
      </c>
      <c r="Q22" s="65">
        <v>3247.5802044588149</v>
      </c>
      <c r="R22" s="67">
        <v>1271</v>
      </c>
      <c r="S22" s="78">
        <v>0</v>
      </c>
      <c r="T22" s="78">
        <v>0</v>
      </c>
      <c r="U22" s="78">
        <v>0</v>
      </c>
      <c r="V22" s="78">
        <v>2</v>
      </c>
      <c r="W22" s="54">
        <v>1</v>
      </c>
      <c r="X22" s="54">
        <v>2</v>
      </c>
      <c r="Y22" s="54">
        <v>3</v>
      </c>
      <c r="Z22" s="54">
        <v>1</v>
      </c>
      <c r="AA22" s="54" t="e">
        <f>IF(Q22&gt;10000,10000,Q22)/(I22-M22)*(S22*#REF!+T22*#REF!+U22*#REF!+V22*#REF!+W22*#REF!+X22*#REF!+Y22*#REF!+Z22*#REF!)</f>
        <v>#REF!</v>
      </c>
      <c r="AB22" s="119" t="s">
        <v>410</v>
      </c>
      <c r="AC22" s="92">
        <f t="shared" si="1"/>
        <v>50000</v>
      </c>
      <c r="AD22" s="34">
        <f t="shared" si="2"/>
        <v>788101</v>
      </c>
    </row>
    <row r="23" spans="1:35" ht="43.2" x14ac:dyDescent="0.3">
      <c r="A23" s="121">
        <v>19</v>
      </c>
      <c r="B23" s="46" t="s">
        <v>43</v>
      </c>
      <c r="C23" s="96" t="s">
        <v>340</v>
      </c>
      <c r="D23" s="96" t="s">
        <v>341</v>
      </c>
      <c r="E23" s="96" t="s">
        <v>342</v>
      </c>
      <c r="F23" s="115">
        <v>3</v>
      </c>
      <c r="G23" s="128">
        <v>150.77099999999999</v>
      </c>
      <c r="H23" s="88">
        <v>30000</v>
      </c>
      <c r="I23" s="88">
        <v>30000</v>
      </c>
      <c r="J23" s="96" t="s">
        <v>330</v>
      </c>
      <c r="K23" s="96" t="s">
        <v>343</v>
      </c>
      <c r="L23" s="88">
        <v>0</v>
      </c>
      <c r="M23" s="88">
        <v>0</v>
      </c>
      <c r="N23" s="96" t="s">
        <v>332</v>
      </c>
      <c r="O23" s="57" t="s">
        <v>344</v>
      </c>
      <c r="P23" s="20" t="str">
        <f t="shared" si="0"/>
        <v>Kaart</v>
      </c>
      <c r="Q23" s="65">
        <v>3159.2200456949367</v>
      </c>
      <c r="R23" s="67">
        <v>8293</v>
      </c>
      <c r="S23" s="78">
        <v>1</v>
      </c>
      <c r="T23" s="79">
        <v>0</v>
      </c>
      <c r="U23" s="78">
        <v>0</v>
      </c>
      <c r="V23" s="78">
        <v>0</v>
      </c>
      <c r="W23" s="54">
        <v>1</v>
      </c>
      <c r="X23" s="54">
        <v>1</v>
      </c>
      <c r="Y23" s="54">
        <v>1</v>
      </c>
      <c r="Z23" s="54">
        <v>1</v>
      </c>
      <c r="AA23" s="54" t="e">
        <f>IF(Q23&gt;10000,10000,Q23)/(I23-M23)*(S23*#REF!+T23*#REF!+U23*#REF!+V23*#REF!+W23*#REF!+X23*#REF!+Y23*#REF!+Z23*#REF!)</f>
        <v>#REF!</v>
      </c>
      <c r="AB23" s="54"/>
      <c r="AC23" s="92">
        <f t="shared" si="1"/>
        <v>30000</v>
      </c>
      <c r="AD23" s="34">
        <f t="shared" si="2"/>
        <v>818101</v>
      </c>
    </row>
    <row r="24" spans="1:35" ht="72" x14ac:dyDescent="0.3">
      <c r="A24" s="121">
        <v>23</v>
      </c>
      <c r="B24" s="44" t="s">
        <v>53</v>
      </c>
      <c r="C24" s="93" t="s">
        <v>287</v>
      </c>
      <c r="D24" s="93" t="s">
        <v>288</v>
      </c>
      <c r="E24" s="93" t="s">
        <v>289</v>
      </c>
      <c r="F24" s="63">
        <v>11162</v>
      </c>
      <c r="G24" s="129">
        <v>0.55000000000000004</v>
      </c>
      <c r="H24" s="92">
        <v>30000</v>
      </c>
      <c r="I24" s="92">
        <v>30000</v>
      </c>
      <c r="J24" s="93" t="s">
        <v>144</v>
      </c>
      <c r="K24" s="17">
        <v>0.1</v>
      </c>
      <c r="L24" s="54">
        <v>3000</v>
      </c>
      <c r="M24" s="92">
        <v>3000</v>
      </c>
      <c r="N24" s="93" t="s">
        <v>290</v>
      </c>
      <c r="O24" s="94" t="s">
        <v>291</v>
      </c>
      <c r="P24" s="20" t="str">
        <f t="shared" si="0"/>
        <v>Kaart</v>
      </c>
      <c r="Q24" s="65">
        <v>1260.4357482551786</v>
      </c>
      <c r="R24" s="67">
        <v>864</v>
      </c>
      <c r="S24" s="78">
        <v>1</v>
      </c>
      <c r="T24" s="104">
        <v>3</v>
      </c>
      <c r="U24" s="78">
        <v>1</v>
      </c>
      <c r="V24" s="78">
        <v>2</v>
      </c>
      <c r="W24" s="108">
        <v>2</v>
      </c>
      <c r="X24" s="108">
        <v>0</v>
      </c>
      <c r="Y24" s="108">
        <v>2</v>
      </c>
      <c r="Z24" s="108">
        <v>0</v>
      </c>
      <c r="AA24" s="54" t="e">
        <f>IF(Q24&gt;10000,10000,Q24)/(I24-M24)*(S24*#REF!+T24*#REF!+U24*#REF!+V24*#REF!+W24*#REF!+X24*#REF!+Y24*#REF!+Z24*#REF!)</f>
        <v>#REF!</v>
      </c>
      <c r="AB24" s="54"/>
      <c r="AC24" s="92">
        <f t="shared" si="1"/>
        <v>27000</v>
      </c>
      <c r="AD24" s="34">
        <f t="shared" si="2"/>
        <v>845101</v>
      </c>
    </row>
    <row r="25" spans="1:35" ht="72" x14ac:dyDescent="0.3">
      <c r="A25" s="121">
        <v>55</v>
      </c>
      <c r="B25" s="99" t="s">
        <v>69</v>
      </c>
      <c r="C25" s="42" t="s">
        <v>358</v>
      </c>
      <c r="D25" s="42" t="s">
        <v>359</v>
      </c>
      <c r="E25" s="42" t="s">
        <v>360</v>
      </c>
      <c r="F25" s="63">
        <v>20101</v>
      </c>
      <c r="G25" s="64">
        <v>6.7</v>
      </c>
      <c r="H25" s="25">
        <v>8000</v>
      </c>
      <c r="I25" s="25">
        <v>8000</v>
      </c>
      <c r="J25" s="42" t="s">
        <v>296</v>
      </c>
      <c r="K25" s="42" t="s">
        <v>74</v>
      </c>
      <c r="L25" s="100">
        <v>4000</v>
      </c>
      <c r="M25" s="100">
        <v>4000</v>
      </c>
      <c r="N25" s="42" t="s">
        <v>297</v>
      </c>
      <c r="O25" s="94" t="s">
        <v>298</v>
      </c>
      <c r="P25" s="20" t="str">
        <f t="shared" si="0"/>
        <v>Kaart</v>
      </c>
      <c r="Q25" s="65">
        <v>334.99931972778199</v>
      </c>
      <c r="R25" s="67">
        <v>738</v>
      </c>
      <c r="S25" s="78">
        <v>2</v>
      </c>
      <c r="T25" s="79">
        <v>0</v>
      </c>
      <c r="U25" s="78">
        <v>0</v>
      </c>
      <c r="V25" s="78">
        <v>3</v>
      </c>
      <c r="W25" s="108">
        <v>0</v>
      </c>
      <c r="X25" s="108">
        <v>0</v>
      </c>
      <c r="Y25" s="108">
        <v>1</v>
      </c>
      <c r="Z25" s="108">
        <v>2</v>
      </c>
      <c r="AA25" s="54" t="e">
        <f>IF(Q25&gt;10000,10000,Q25)/(I25-M25)*(S25*#REF!+T25*#REF!+U25*#REF!+V25*#REF!+W25*#REF!+X25*#REF!+Y25*#REF!+Z25*#REF!)</f>
        <v>#REF!</v>
      </c>
      <c r="AB25" s="54"/>
      <c r="AC25" s="92">
        <f t="shared" si="1"/>
        <v>4000</v>
      </c>
      <c r="AD25" s="34">
        <f t="shared" si="2"/>
        <v>849101</v>
      </c>
    </row>
    <row r="26" spans="1:35" ht="43.2" x14ac:dyDescent="0.3">
      <c r="A26" s="121">
        <v>54</v>
      </c>
      <c r="B26" s="99" t="s">
        <v>69</v>
      </c>
      <c r="C26" s="42" t="s">
        <v>377</v>
      </c>
      <c r="D26" s="42" t="s">
        <v>378</v>
      </c>
      <c r="E26" s="42" t="s">
        <v>379</v>
      </c>
      <c r="F26" s="63">
        <v>20101</v>
      </c>
      <c r="G26" s="64">
        <v>5</v>
      </c>
      <c r="H26" s="25">
        <v>16000</v>
      </c>
      <c r="I26" s="25">
        <v>16000</v>
      </c>
      <c r="J26" s="42" t="s">
        <v>296</v>
      </c>
      <c r="K26" s="42" t="s">
        <v>74</v>
      </c>
      <c r="L26" s="100">
        <v>8000</v>
      </c>
      <c r="M26" s="100">
        <v>8000</v>
      </c>
      <c r="N26" s="42" t="s">
        <v>297</v>
      </c>
      <c r="O26" s="94" t="s">
        <v>298</v>
      </c>
      <c r="P26" s="20" t="str">
        <f t="shared" si="0"/>
        <v>Kaart</v>
      </c>
      <c r="Q26" s="65">
        <v>535.89246791226014</v>
      </c>
      <c r="R26" s="67">
        <v>738</v>
      </c>
      <c r="S26" s="80">
        <v>2</v>
      </c>
      <c r="T26" s="79">
        <v>0</v>
      </c>
      <c r="U26" s="78">
        <v>0</v>
      </c>
      <c r="V26" s="78">
        <v>3</v>
      </c>
      <c r="W26" s="108">
        <v>0</v>
      </c>
      <c r="X26" s="108">
        <v>1</v>
      </c>
      <c r="Y26" s="108">
        <v>1</v>
      </c>
      <c r="Z26" s="108">
        <v>2</v>
      </c>
      <c r="AA26" s="54" t="e">
        <f>IF(Q26&gt;10000,10000,Q26)/(I26-M26)*(S26*#REF!+T26*#REF!+U26*#REF!+V26*#REF!+W26*#REF!+X26*#REF!+Y26*#REF!+Z26*#REF!)</f>
        <v>#REF!</v>
      </c>
      <c r="AB26" s="54"/>
      <c r="AC26" s="92">
        <f t="shared" si="1"/>
        <v>8000</v>
      </c>
      <c r="AD26" s="34">
        <f t="shared" si="2"/>
        <v>857101</v>
      </c>
    </row>
    <row r="27" spans="1:35" ht="86.4" x14ac:dyDescent="0.3">
      <c r="A27" s="121">
        <v>7</v>
      </c>
      <c r="B27" s="44" t="s">
        <v>43</v>
      </c>
      <c r="C27" s="93" t="s">
        <v>345</v>
      </c>
      <c r="D27" s="93" t="s">
        <v>346</v>
      </c>
      <c r="E27" s="93" t="s">
        <v>347</v>
      </c>
      <c r="F27" s="63">
        <v>45</v>
      </c>
      <c r="G27" s="129">
        <v>11.83</v>
      </c>
      <c r="H27" s="92">
        <v>50000</v>
      </c>
      <c r="I27" s="92">
        <v>50000</v>
      </c>
      <c r="J27" s="93" t="s">
        <v>348</v>
      </c>
      <c r="K27" s="93" t="s">
        <v>349</v>
      </c>
      <c r="L27" s="87" t="s">
        <v>350</v>
      </c>
      <c r="M27" s="87">
        <f>I27*0.15</f>
        <v>7500</v>
      </c>
      <c r="N27" s="93" t="s">
        <v>351</v>
      </c>
      <c r="O27" s="94" t="s">
        <v>352</v>
      </c>
      <c r="P27" s="20" t="str">
        <f t="shared" si="0"/>
        <v>Kaart</v>
      </c>
      <c r="Q27" s="65">
        <v>2342.7761971798736</v>
      </c>
      <c r="R27" s="66">
        <v>3691</v>
      </c>
      <c r="S27" s="78">
        <v>1</v>
      </c>
      <c r="T27" s="79">
        <v>0</v>
      </c>
      <c r="U27" s="78">
        <v>0</v>
      </c>
      <c r="V27" s="78">
        <v>2</v>
      </c>
      <c r="W27" s="54">
        <v>1</v>
      </c>
      <c r="X27" s="54">
        <v>1</v>
      </c>
      <c r="Y27" s="54">
        <v>1</v>
      </c>
      <c r="Z27" s="54">
        <v>2</v>
      </c>
      <c r="AA27" s="54" t="e">
        <f>IF(Q27&gt;10000,10000,Q27)/(I27-M27)*(S27*#REF!+T27*#REF!+U27*#REF!+V27*#REF!+W27*#REF!+X27*#REF!+Y27*#REF!+Z27*#REF!)</f>
        <v>#REF!</v>
      </c>
      <c r="AB27" s="54"/>
      <c r="AC27" s="92">
        <f t="shared" si="1"/>
        <v>42500</v>
      </c>
      <c r="AD27" s="34">
        <f t="shared" si="2"/>
        <v>899601</v>
      </c>
    </row>
    <row r="28" spans="1:35" ht="100.8" x14ac:dyDescent="0.3">
      <c r="A28" s="121">
        <v>6</v>
      </c>
      <c r="B28" s="44" t="s">
        <v>53</v>
      </c>
      <c r="C28" s="93" t="s">
        <v>353</v>
      </c>
      <c r="D28" s="93" t="s">
        <v>354</v>
      </c>
      <c r="E28" s="93" t="s">
        <v>355</v>
      </c>
      <c r="F28" s="63">
        <v>11390</v>
      </c>
      <c r="G28" s="111">
        <v>18.55</v>
      </c>
      <c r="H28" s="169">
        <v>150000</v>
      </c>
      <c r="I28" s="169">
        <v>150000</v>
      </c>
      <c r="J28" s="93" t="s">
        <v>107</v>
      </c>
      <c r="K28" s="23" t="s">
        <v>108</v>
      </c>
      <c r="L28" s="18">
        <v>0.5</v>
      </c>
      <c r="M28" s="89">
        <f>I28*0.5</f>
        <v>75000</v>
      </c>
      <c r="N28" s="93" t="s">
        <v>356</v>
      </c>
      <c r="O28" s="94" t="s">
        <v>357</v>
      </c>
      <c r="P28" s="20" t="str">
        <f t="shared" si="0"/>
        <v>Kaart</v>
      </c>
      <c r="Q28" s="65">
        <v>4605.9641192976815</v>
      </c>
      <c r="R28" s="67">
        <v>1966</v>
      </c>
      <c r="S28" s="78">
        <v>0</v>
      </c>
      <c r="T28" s="78">
        <v>0</v>
      </c>
      <c r="U28" s="78">
        <v>0</v>
      </c>
      <c r="V28" s="78">
        <v>3</v>
      </c>
      <c r="W28" s="54">
        <v>0</v>
      </c>
      <c r="X28" s="54">
        <v>1</v>
      </c>
      <c r="Y28" s="54">
        <v>2</v>
      </c>
      <c r="Z28" s="54">
        <v>0</v>
      </c>
      <c r="AA28" s="54" t="e">
        <f>IF(Q28&gt;10000,10000,Q28)/(I28-M28)*(S28*#REF!+T28*#REF!+U28*#REF!+V28*#REF!+W28*#REF!+X28*#REF!+Y28*#REF!+Z28*#REF!)</f>
        <v>#REF!</v>
      </c>
      <c r="AB28" s="54"/>
      <c r="AC28" s="92">
        <f t="shared" si="1"/>
        <v>75000</v>
      </c>
      <c r="AD28" s="34">
        <f t="shared" si="2"/>
        <v>974601</v>
      </c>
    </row>
    <row r="29" spans="1:35" ht="86.4" x14ac:dyDescent="0.3">
      <c r="A29" s="121">
        <v>9</v>
      </c>
      <c r="B29" s="101" t="s">
        <v>43</v>
      </c>
      <c r="C29" s="19" t="s">
        <v>300</v>
      </c>
      <c r="D29" s="19" t="s">
        <v>301</v>
      </c>
      <c r="E29" s="19" t="s">
        <v>302</v>
      </c>
      <c r="F29" s="63">
        <v>22253</v>
      </c>
      <c r="G29" s="126">
        <v>6.97</v>
      </c>
      <c r="H29" s="19" t="s">
        <v>303</v>
      </c>
      <c r="I29" s="102">
        <v>50000</v>
      </c>
      <c r="J29" s="19" t="s">
        <v>179</v>
      </c>
      <c r="K29" s="19" t="s">
        <v>83</v>
      </c>
      <c r="L29" s="19" t="s">
        <v>304</v>
      </c>
      <c r="M29" s="87">
        <v>0</v>
      </c>
      <c r="N29" s="19" t="s">
        <v>303</v>
      </c>
      <c r="O29" s="94" t="s">
        <v>272</v>
      </c>
      <c r="P29" s="20" t="str">
        <f t="shared" si="0"/>
        <v>Kaart</v>
      </c>
      <c r="Q29" s="65">
        <v>1283.6992218814823</v>
      </c>
      <c r="R29" s="67">
        <v>1271</v>
      </c>
      <c r="S29" s="78">
        <v>0</v>
      </c>
      <c r="T29" s="78">
        <v>0</v>
      </c>
      <c r="U29" s="78">
        <v>0</v>
      </c>
      <c r="V29" s="78">
        <v>2</v>
      </c>
      <c r="W29" s="54">
        <v>1</v>
      </c>
      <c r="X29" s="54">
        <v>2</v>
      </c>
      <c r="Y29" s="54">
        <v>3</v>
      </c>
      <c r="Z29" s="54">
        <v>1</v>
      </c>
      <c r="AA29" s="54" t="e">
        <f>IF(Q29&gt;10000,10000,Q29)/(I29-M29)*(S29*#REF!+T29*#REF!+U29*#REF!+V29*#REF!+W29*#REF!+X29*#REF!+Y29*#REF!+Z29*#REF!)</f>
        <v>#REF!</v>
      </c>
      <c r="AB29" s="119" t="s">
        <v>412</v>
      </c>
      <c r="AC29" s="92">
        <f t="shared" si="1"/>
        <v>50000</v>
      </c>
      <c r="AD29" s="34">
        <f t="shared" si="2"/>
        <v>1024601</v>
      </c>
      <c r="AE29" s="131"/>
      <c r="AF29" s="131"/>
      <c r="AG29" s="131"/>
      <c r="AH29" s="131"/>
      <c r="AI29" s="131"/>
    </row>
    <row r="30" spans="1:35" ht="89.25" customHeight="1" x14ac:dyDescent="0.3">
      <c r="A30" s="121">
        <v>1</v>
      </c>
      <c r="B30" s="44" t="s">
        <v>62</v>
      </c>
      <c r="C30" s="93" t="s">
        <v>366</v>
      </c>
      <c r="D30" s="93" t="s">
        <v>367</v>
      </c>
      <c r="E30" s="93" t="s">
        <v>368</v>
      </c>
      <c r="F30" s="63">
        <v>13</v>
      </c>
      <c r="G30" s="63" t="s">
        <v>365</v>
      </c>
      <c r="H30" s="92">
        <v>122000</v>
      </c>
      <c r="I30" s="92">
        <v>122000</v>
      </c>
      <c r="J30" s="93" t="s">
        <v>66</v>
      </c>
      <c r="K30" s="17">
        <v>0.5</v>
      </c>
      <c r="L30" s="92">
        <v>61000</v>
      </c>
      <c r="M30" s="92">
        <v>61000</v>
      </c>
      <c r="N30" s="93" t="s">
        <v>67</v>
      </c>
      <c r="O30" s="94" t="s">
        <v>323</v>
      </c>
      <c r="P30" s="20" t="str">
        <f>HYPERLINK("https://xgis.maaamet.ee/xgis2/page/app/teeregister?searchid=teeotsing&amp;roadid="&amp;F30&amp;"&amp;begin="&amp;36.69&amp;"&amp;end="&amp;36.79&amp;"","Kaart")</f>
        <v>Kaart</v>
      </c>
      <c r="Q30" s="65">
        <v>742.67381993108097</v>
      </c>
      <c r="R30" s="66">
        <v>1715</v>
      </c>
      <c r="S30" s="78">
        <v>1</v>
      </c>
      <c r="T30" s="81">
        <v>3</v>
      </c>
      <c r="U30" s="78">
        <v>0</v>
      </c>
      <c r="V30" s="78">
        <v>2</v>
      </c>
      <c r="W30" s="54">
        <v>3</v>
      </c>
      <c r="X30" s="54">
        <v>1</v>
      </c>
      <c r="Y30" s="54">
        <v>3</v>
      </c>
      <c r="Z30" s="54">
        <v>3</v>
      </c>
      <c r="AA30" s="54" t="e">
        <f>IF(Q30&gt;10000,10000,Q30)/(I30-M30)*(S30*#REF!+T30*#REF!+U30*#REF!+V30*#REF!+W30*#REF!+X30*#REF!+Y30*#REF!+Z30*#REF!)</f>
        <v>#REF!</v>
      </c>
      <c r="AB30" s="54"/>
      <c r="AC30" s="92">
        <f t="shared" si="1"/>
        <v>61000</v>
      </c>
      <c r="AD30" s="34">
        <f t="shared" si="2"/>
        <v>1085601</v>
      </c>
    </row>
    <row r="31" spans="1:35" ht="43.2" x14ac:dyDescent="0.3">
      <c r="A31" s="121">
        <v>29</v>
      </c>
      <c r="B31" s="54" t="s">
        <v>369</v>
      </c>
      <c r="C31" s="93" t="s">
        <v>370</v>
      </c>
      <c r="D31" s="93" t="s">
        <v>371</v>
      </c>
      <c r="E31" s="93" t="s">
        <v>372</v>
      </c>
      <c r="F31" s="63">
        <v>15123</v>
      </c>
      <c r="G31" s="111">
        <v>9.84</v>
      </c>
      <c r="H31" s="92" t="s">
        <v>373</v>
      </c>
      <c r="I31" s="92">
        <v>53000</v>
      </c>
      <c r="J31" s="54" t="s">
        <v>374</v>
      </c>
      <c r="K31" s="87" t="s">
        <v>375</v>
      </c>
      <c r="L31" s="92" t="s">
        <v>376</v>
      </c>
      <c r="M31" s="92">
        <v>11000</v>
      </c>
      <c r="N31" s="93" t="s">
        <v>375</v>
      </c>
      <c r="O31" s="123" t="s">
        <v>375</v>
      </c>
      <c r="P31" s="20" t="str">
        <f>HYPERLINK("https://xgis.maaamet.ee/xgis2/page/app/teeregister?searchid=teeotsing&amp;roadid="&amp;F31&amp;"&amp;begin="&amp;G31&amp;"&amp;end="&amp;G31&amp;"","Kaart")</f>
        <v>Kaart</v>
      </c>
      <c r="Q31" s="65">
        <v>690.61544701197852</v>
      </c>
      <c r="R31" s="67">
        <v>631</v>
      </c>
      <c r="S31" s="78">
        <v>0</v>
      </c>
      <c r="T31" s="104">
        <v>3</v>
      </c>
      <c r="U31" s="78">
        <v>0</v>
      </c>
      <c r="V31" s="78">
        <v>2</v>
      </c>
      <c r="W31" s="108">
        <v>2</v>
      </c>
      <c r="X31" s="108">
        <v>1</v>
      </c>
      <c r="Y31" s="108">
        <v>2</v>
      </c>
      <c r="Z31" s="108">
        <v>1</v>
      </c>
      <c r="AA31" s="54" t="e">
        <f>IF(Q31&gt;10000,10000,Q31)/(I31-M31)*(S31*#REF!+T31*#REF!+U31*#REF!+V31*#REF!+W31*#REF!+X31*#REF!+Y31*#REF!+Z31*#REF!)</f>
        <v>#REF!</v>
      </c>
      <c r="AB31" s="54"/>
      <c r="AC31" s="92">
        <f t="shared" si="1"/>
        <v>42000</v>
      </c>
      <c r="AD31" s="34">
        <f t="shared" si="2"/>
        <v>1127601</v>
      </c>
    </row>
    <row r="32" spans="1:35" ht="87.75" customHeight="1" x14ac:dyDescent="0.3">
      <c r="A32" s="121">
        <v>20</v>
      </c>
      <c r="B32" s="54" t="s">
        <v>124</v>
      </c>
      <c r="C32" s="93" t="s">
        <v>402</v>
      </c>
      <c r="D32" s="93" t="s">
        <v>403</v>
      </c>
      <c r="E32" s="93" t="s">
        <v>404</v>
      </c>
      <c r="F32" s="63">
        <v>2</v>
      </c>
      <c r="G32" s="129">
        <v>84.5</v>
      </c>
      <c r="H32" s="92"/>
      <c r="I32" s="92">
        <v>500000</v>
      </c>
      <c r="J32" s="93" t="s">
        <v>405</v>
      </c>
      <c r="K32" s="93"/>
      <c r="L32" s="92"/>
      <c r="M32" s="92"/>
      <c r="N32" s="93" t="s">
        <v>406</v>
      </c>
      <c r="O32" s="123" t="s">
        <v>407</v>
      </c>
      <c r="P32" s="20" t="str">
        <f>HYPERLINK("https://xgis.maaamet.ee/xgis2/page/app/teeregister?searchid=teeotsing&amp;roadid="&amp;F32&amp;"&amp;begin="&amp;G32&amp;"&amp;end="&amp;G32&amp;"","Kaart")</f>
        <v>Kaart</v>
      </c>
      <c r="Q32" s="65">
        <v>5308.9413313265068</v>
      </c>
      <c r="R32" s="67">
        <v>8781</v>
      </c>
      <c r="S32" s="78">
        <v>1</v>
      </c>
      <c r="T32" s="79">
        <v>0</v>
      </c>
      <c r="U32" s="78">
        <v>0</v>
      </c>
      <c r="V32" s="78">
        <v>0</v>
      </c>
      <c r="W32" s="54">
        <v>3</v>
      </c>
      <c r="X32" s="54">
        <v>0</v>
      </c>
      <c r="Y32" s="54">
        <v>2</v>
      </c>
      <c r="Z32" s="54">
        <v>0</v>
      </c>
      <c r="AA32" s="54" t="e">
        <f>IF(Q32&gt;10000,10000,Q32)/(I32-M32)*(S32*#REF!+T32*#REF!+U32*#REF!+V32*#REF!+W32*#REF!+X32*#REF!+Y32*#REF!+Z32*#REF!)</f>
        <v>#REF!</v>
      </c>
      <c r="AB32" s="54"/>
      <c r="AC32" s="92">
        <f t="shared" si="1"/>
        <v>500000</v>
      </c>
      <c r="AD32" s="34">
        <f t="shared" si="2"/>
        <v>1627601</v>
      </c>
      <c r="AE32" s="34">
        <f>SUM(AC3:AC32)</f>
        <v>1627601</v>
      </c>
    </row>
  </sheetData>
  <mergeCells count="4">
    <mergeCell ref="B1:E1"/>
    <mergeCell ref="F1:G1"/>
    <mergeCell ref="H1:Q1"/>
    <mergeCell ref="S1:Z1"/>
  </mergeCells>
  <pageMargins left="0.25" right="0.25"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
  <sheetViews>
    <sheetView topLeftCell="J1" zoomScale="80" zoomScaleNormal="80" workbookViewId="0">
      <selection activeCell="AD6" sqref="AD6"/>
    </sheetView>
  </sheetViews>
  <sheetFormatPr defaultColWidth="9.109375" defaultRowHeight="14.4" x14ac:dyDescent="0.3"/>
  <cols>
    <col min="1" max="1" width="4.6640625" style="2" bestFit="1" customWidth="1"/>
    <col min="2" max="2" width="19" style="2" customWidth="1"/>
    <col min="3" max="3" width="17.88671875" style="3" customWidth="1"/>
    <col min="4" max="4" width="51.88671875" style="3" customWidth="1"/>
    <col min="5" max="5" width="24.88671875" style="3" customWidth="1"/>
    <col min="6" max="6" width="22.109375" style="2" customWidth="1"/>
    <col min="7" max="7" width="18.44140625" style="2" customWidth="1"/>
    <col min="8" max="8" width="26.88671875" style="2" customWidth="1"/>
    <col min="9" max="9" width="26.88671875" style="34" customWidth="1"/>
    <col min="10" max="10" width="15.33203125" style="2" customWidth="1"/>
    <col min="11" max="11" width="27.6640625" style="3" customWidth="1"/>
    <col min="12" max="12" width="27.6640625" style="2" customWidth="1"/>
    <col min="13" max="13" width="27.6640625" style="34" customWidth="1"/>
    <col min="14" max="14" width="40.6640625" style="3" customWidth="1"/>
    <col min="15" max="16" width="25" style="3" customWidth="1"/>
    <col min="17" max="18" width="10.44140625" style="2" customWidth="1"/>
    <col min="19" max="20" width="4.6640625" style="2" customWidth="1"/>
    <col min="21" max="21" width="8.33203125" style="2" customWidth="1"/>
    <col min="22" max="25" width="4.6640625" style="2" customWidth="1"/>
    <col min="26" max="26" width="7.44140625" style="2" bestFit="1" customWidth="1"/>
    <col min="27" max="27" width="9.109375" style="2"/>
    <col min="28" max="28" width="35.44140625" style="2" customWidth="1"/>
    <col min="29" max="29" width="14.88671875" style="2" customWidth="1"/>
    <col min="30" max="16384" width="9.109375" style="2"/>
  </cols>
  <sheetData>
    <row r="1" spans="1:29" ht="28.5" customHeight="1" x14ac:dyDescent="0.3">
      <c r="B1" s="198" t="s">
        <v>0</v>
      </c>
      <c r="C1" s="198"/>
      <c r="D1" s="198"/>
      <c r="E1" s="198"/>
      <c r="F1" s="202" t="s">
        <v>1</v>
      </c>
      <c r="G1" s="198"/>
      <c r="H1" s="203" t="s">
        <v>253</v>
      </c>
      <c r="I1" s="204"/>
      <c r="J1" s="204"/>
      <c r="K1" s="204"/>
      <c r="L1" s="204"/>
      <c r="M1" s="204"/>
      <c r="N1" s="204"/>
      <c r="O1" s="204"/>
      <c r="P1" s="204"/>
      <c r="Q1" s="205"/>
      <c r="R1" s="166"/>
      <c r="S1" s="206" t="s">
        <v>3</v>
      </c>
      <c r="T1" s="207"/>
      <c r="U1" s="207"/>
      <c r="V1" s="207"/>
      <c r="W1" s="207"/>
      <c r="X1" s="207"/>
      <c r="Y1" s="207"/>
      <c r="Z1" s="208"/>
      <c r="AA1" s="165" t="s">
        <v>4</v>
      </c>
    </row>
    <row r="2" spans="1:29" ht="43.2" x14ac:dyDescent="0.3">
      <c r="A2" s="1" t="s">
        <v>5</v>
      </c>
      <c r="B2" s="6" t="s">
        <v>6</v>
      </c>
      <c r="C2" s="5" t="s">
        <v>256</v>
      </c>
      <c r="D2" s="6" t="s">
        <v>8</v>
      </c>
      <c r="E2" s="5" t="s">
        <v>9</v>
      </c>
      <c r="F2" s="5" t="s">
        <v>10</v>
      </c>
      <c r="G2" s="5" t="s">
        <v>408</v>
      </c>
      <c r="H2" s="4" t="s">
        <v>14</v>
      </c>
      <c r="I2" s="55" t="s">
        <v>15</v>
      </c>
      <c r="J2" s="1" t="s">
        <v>16</v>
      </c>
      <c r="K2" s="1" t="s">
        <v>17</v>
      </c>
      <c r="L2" s="4" t="s">
        <v>409</v>
      </c>
      <c r="M2" s="55" t="s">
        <v>19</v>
      </c>
      <c r="N2" s="1" t="s">
        <v>20</v>
      </c>
      <c r="O2" s="7" t="s">
        <v>21</v>
      </c>
      <c r="P2" s="48" t="s">
        <v>22</v>
      </c>
      <c r="Q2" s="84" t="s">
        <v>257</v>
      </c>
      <c r="R2" s="84" t="s">
        <v>24</v>
      </c>
      <c r="S2" s="49" t="s">
        <v>25</v>
      </c>
      <c r="T2" s="15" t="s">
        <v>258</v>
      </c>
      <c r="U2" s="15" t="s">
        <v>259</v>
      </c>
      <c r="V2" s="15" t="s">
        <v>260</v>
      </c>
      <c r="W2" s="15" t="s">
        <v>261</v>
      </c>
      <c r="X2" s="15" t="s">
        <v>262</v>
      </c>
      <c r="Y2" s="15" t="s">
        <v>263</v>
      </c>
      <c r="Z2" s="15" t="s">
        <v>264</v>
      </c>
      <c r="AA2" s="130" t="s">
        <v>4</v>
      </c>
      <c r="AB2" s="54" t="s">
        <v>32</v>
      </c>
      <c r="AC2" s="93" t="s">
        <v>33</v>
      </c>
    </row>
    <row r="3" spans="1:29" ht="72" x14ac:dyDescent="0.3">
      <c r="A3" s="121">
        <v>3</v>
      </c>
      <c r="B3" s="45" t="s">
        <v>273</v>
      </c>
      <c r="C3" s="93" t="s">
        <v>274</v>
      </c>
      <c r="D3" s="93" t="s">
        <v>275</v>
      </c>
      <c r="E3" s="93" t="s">
        <v>276</v>
      </c>
      <c r="F3" s="63">
        <v>12132</v>
      </c>
      <c r="G3" s="126">
        <v>0.1</v>
      </c>
      <c r="H3" s="92">
        <v>5000</v>
      </c>
      <c r="I3" s="92">
        <v>5000</v>
      </c>
      <c r="J3" s="93" t="s">
        <v>277</v>
      </c>
      <c r="K3" s="93" t="s">
        <v>278</v>
      </c>
      <c r="L3" s="92">
        <v>2500</v>
      </c>
      <c r="M3" s="92">
        <v>2500</v>
      </c>
      <c r="N3" s="93" t="s">
        <v>279</v>
      </c>
      <c r="O3" s="52" t="s">
        <v>280</v>
      </c>
      <c r="P3" s="20" t="str">
        <f t="shared" ref="P3:P28" si="0">HYPERLINK("https://xgis.maaamet.ee/xgis2/page/app/teeregister?searchid=teeotsing&amp;roadid="&amp;F3&amp;"&amp;begin="&amp;G3&amp;"&amp;end="&amp;G3&amp;"","Kaart")</f>
        <v>Kaart</v>
      </c>
      <c r="Q3" s="65">
        <v>600.12926475699942</v>
      </c>
      <c r="R3" s="67">
        <v>459</v>
      </c>
      <c r="S3" s="78">
        <v>1</v>
      </c>
      <c r="T3" s="78">
        <v>0</v>
      </c>
      <c r="U3" s="78">
        <v>3</v>
      </c>
      <c r="V3" s="78">
        <v>2</v>
      </c>
      <c r="W3" s="54">
        <v>2</v>
      </c>
      <c r="X3" s="54">
        <v>1</v>
      </c>
      <c r="Y3" s="54">
        <v>1</v>
      </c>
      <c r="Z3" s="54">
        <v>0</v>
      </c>
      <c r="AA3" s="54" t="e">
        <f>IF(Q3&gt;10000,10000,Q3)/(I3-M3)*(S3*#REF!+T3*#REF!+U3*#REF!+V3*#REF!+W3*#REF!+X3*#REF!+Y3*#REF!+Z3*#REF!)</f>
        <v>#REF!</v>
      </c>
      <c r="AB3" s="54"/>
      <c r="AC3" s="92">
        <f>I3-M3</f>
        <v>2500</v>
      </c>
    </row>
    <row r="4" spans="1:29" ht="60.75" customHeight="1" x14ac:dyDescent="0.3">
      <c r="A4" s="121">
        <v>25</v>
      </c>
      <c r="B4" s="54" t="s">
        <v>361</v>
      </c>
      <c r="C4" s="105" t="s">
        <v>380</v>
      </c>
      <c r="D4" s="93" t="s">
        <v>381</v>
      </c>
      <c r="E4" s="93" t="s">
        <v>382</v>
      </c>
      <c r="F4" s="125">
        <v>45</v>
      </c>
      <c r="G4" s="111">
        <v>69.47</v>
      </c>
      <c r="H4" s="92" t="s">
        <v>383</v>
      </c>
      <c r="I4" s="58"/>
      <c r="J4" s="93" t="s">
        <v>384</v>
      </c>
      <c r="K4" s="93" t="s">
        <v>385</v>
      </c>
      <c r="L4" s="87" t="s">
        <v>386</v>
      </c>
      <c r="M4" s="87"/>
      <c r="N4" s="93" t="s">
        <v>387</v>
      </c>
      <c r="O4" s="123" t="s">
        <v>388</v>
      </c>
      <c r="P4" s="20" t="str">
        <f t="shared" si="0"/>
        <v>Kaart</v>
      </c>
      <c r="Q4" s="65">
        <v>916.38473153164864</v>
      </c>
      <c r="R4" s="66">
        <v>823</v>
      </c>
      <c r="S4" s="78">
        <v>0</v>
      </c>
      <c r="T4" s="79">
        <v>0</v>
      </c>
      <c r="U4" s="78">
        <v>0</v>
      </c>
      <c r="V4" s="78">
        <v>2</v>
      </c>
      <c r="W4" s="108">
        <v>0</v>
      </c>
      <c r="X4" s="108">
        <v>1</v>
      </c>
      <c r="Y4" s="108">
        <v>0</v>
      </c>
      <c r="Z4" s="108">
        <v>1</v>
      </c>
      <c r="AA4" s="54" t="e">
        <f>IF(Q4&gt;10000,10000,Q4)/(I4-M4)*(S4*#REF!+T4*#REF!+U4*#REF!+V4*#REF!+W4*#REF!+X4*#REF!+Y4*#REF!+Z4*#REF!)</f>
        <v>#DIV/0!</v>
      </c>
      <c r="AB4" s="54" t="s">
        <v>413</v>
      </c>
      <c r="AC4" s="58">
        <f t="shared" ref="AC4:AC33" si="1">I4-M4</f>
        <v>0</v>
      </c>
    </row>
    <row r="5" spans="1:29" ht="43.2" x14ac:dyDescent="0.3">
      <c r="A5" s="121">
        <v>28</v>
      </c>
      <c r="B5" s="45" t="s">
        <v>369</v>
      </c>
      <c r="C5" s="93" t="s">
        <v>389</v>
      </c>
      <c r="D5" s="93" t="s">
        <v>390</v>
      </c>
      <c r="E5" s="93" t="s">
        <v>391</v>
      </c>
      <c r="F5" s="125">
        <v>5</v>
      </c>
      <c r="G5" s="59">
        <v>142.12</v>
      </c>
      <c r="H5" s="38" t="s">
        <v>392</v>
      </c>
      <c r="I5" s="38">
        <v>3001</v>
      </c>
      <c r="J5" s="93" t="s">
        <v>374</v>
      </c>
      <c r="K5" s="93" t="s">
        <v>375</v>
      </c>
      <c r="L5" s="38" t="s">
        <v>393</v>
      </c>
      <c r="M5" s="38">
        <f>3000*0.3</f>
        <v>900</v>
      </c>
      <c r="N5" s="93" t="s">
        <v>375</v>
      </c>
      <c r="O5" s="94" t="s">
        <v>375</v>
      </c>
      <c r="P5" s="20" t="str">
        <f t="shared" si="0"/>
        <v>Kaart</v>
      </c>
      <c r="Q5" s="65">
        <v>5758.767444015707</v>
      </c>
      <c r="R5" s="67">
        <v>2444</v>
      </c>
      <c r="S5" s="78">
        <v>0</v>
      </c>
      <c r="T5" s="79">
        <v>0</v>
      </c>
      <c r="U5" s="78">
        <v>0</v>
      </c>
      <c r="V5" s="78">
        <v>2</v>
      </c>
      <c r="W5" s="54">
        <v>1</v>
      </c>
      <c r="X5" s="54">
        <v>0</v>
      </c>
      <c r="Y5" s="54">
        <v>2</v>
      </c>
      <c r="Z5" s="54">
        <v>0</v>
      </c>
      <c r="AA5" s="54" t="e">
        <f>IF(Q5&gt;10000,10000,Q5)/(I5-M5)*(S5*#REF!+T5*#REF!+U5*#REF!+V5*#REF!+W5*#REF!+X5*#REF!+Y5*#REF!+Z5*#REF!)</f>
        <v>#REF!</v>
      </c>
      <c r="AB5" s="54"/>
      <c r="AC5" s="92">
        <f t="shared" si="1"/>
        <v>2101</v>
      </c>
    </row>
    <row r="6" spans="1:29" ht="72" x14ac:dyDescent="0.3">
      <c r="A6" s="121">
        <v>53</v>
      </c>
      <c r="B6" s="99" t="s">
        <v>69</v>
      </c>
      <c r="C6" s="42" t="s">
        <v>312</v>
      </c>
      <c r="D6" s="42" t="s">
        <v>313</v>
      </c>
      <c r="E6" s="42" t="s">
        <v>314</v>
      </c>
      <c r="F6" s="63">
        <v>20107</v>
      </c>
      <c r="G6" s="64">
        <v>4</v>
      </c>
      <c r="H6" s="25">
        <v>8000</v>
      </c>
      <c r="I6" s="25">
        <v>8000</v>
      </c>
      <c r="J6" s="42" t="s">
        <v>296</v>
      </c>
      <c r="K6" s="42" t="s">
        <v>74</v>
      </c>
      <c r="L6" s="100">
        <v>4000</v>
      </c>
      <c r="M6" s="100">
        <v>4000</v>
      </c>
      <c r="N6" s="42" t="s">
        <v>297</v>
      </c>
      <c r="O6" s="94" t="s">
        <v>315</v>
      </c>
      <c r="P6" s="20" t="str">
        <f t="shared" si="0"/>
        <v>Kaart</v>
      </c>
      <c r="Q6" s="65">
        <v>4505.5853585928744</v>
      </c>
      <c r="R6" s="67">
        <v>601</v>
      </c>
      <c r="S6" s="80">
        <v>2</v>
      </c>
      <c r="T6" s="79">
        <v>0</v>
      </c>
      <c r="U6" s="78">
        <v>1</v>
      </c>
      <c r="V6" s="78">
        <v>3</v>
      </c>
      <c r="W6" s="108">
        <v>2</v>
      </c>
      <c r="X6" s="108">
        <v>1</v>
      </c>
      <c r="Y6" s="108">
        <v>2</v>
      </c>
      <c r="Z6" s="124">
        <v>2</v>
      </c>
      <c r="AA6" s="54" t="e">
        <f>IF(Q6&gt;10000,10000,Q6)/(I6-M6)*(S6*#REF!+T6*#REF!+U6*#REF!+V6*#REF!+W6*#REF!+X6*#REF!+Y6*#REF!+Z6*#REF!)</f>
        <v>#REF!</v>
      </c>
      <c r="AB6" s="54"/>
      <c r="AC6" s="92">
        <f t="shared" si="1"/>
        <v>4000</v>
      </c>
    </row>
    <row r="7" spans="1:29" ht="43.2" x14ac:dyDescent="0.3">
      <c r="A7" s="121">
        <v>44</v>
      </c>
      <c r="B7" s="44" t="s">
        <v>34</v>
      </c>
      <c r="C7" s="93" t="s">
        <v>266</v>
      </c>
      <c r="D7" s="93" t="s">
        <v>267</v>
      </c>
      <c r="E7" s="93" t="s">
        <v>268</v>
      </c>
      <c r="F7" s="63">
        <v>37</v>
      </c>
      <c r="G7" s="111">
        <v>25</v>
      </c>
      <c r="H7" s="92">
        <v>15000</v>
      </c>
      <c r="I7" s="92">
        <v>4000</v>
      </c>
      <c r="J7" s="93" t="s">
        <v>38</v>
      </c>
      <c r="K7" s="93" t="s">
        <v>83</v>
      </c>
      <c r="L7" s="92"/>
      <c r="M7" s="92"/>
      <c r="N7" s="93" t="s">
        <v>269</v>
      </c>
      <c r="O7" s="94" t="s">
        <v>270</v>
      </c>
      <c r="P7" s="20" t="str">
        <f t="shared" si="0"/>
        <v>Kaart</v>
      </c>
      <c r="Q7" s="65">
        <v>4635.7352302565578</v>
      </c>
      <c r="R7" s="66">
        <v>1381</v>
      </c>
      <c r="S7" s="78">
        <v>1</v>
      </c>
      <c r="T7" s="79">
        <v>0</v>
      </c>
      <c r="U7" s="78">
        <v>0</v>
      </c>
      <c r="V7" s="79">
        <v>1</v>
      </c>
      <c r="W7" s="54">
        <v>1</v>
      </c>
      <c r="X7" s="54">
        <v>0</v>
      </c>
      <c r="Y7" s="54">
        <v>0</v>
      </c>
      <c r="Z7" s="54">
        <v>0</v>
      </c>
      <c r="AA7" s="54" t="e">
        <f>IF(Q7&gt;10000,10000,Q7)/(I7-M7)*(S7*#REF!+T7*#REF!+U7*#REF!+V7*#REF!+W7*#REF!+X7*#REF!+Y7*#REF!+Z7*#REF!)</f>
        <v>#REF!</v>
      </c>
      <c r="AB7" s="93" t="s">
        <v>271</v>
      </c>
      <c r="AC7" s="92">
        <f t="shared" si="1"/>
        <v>4000</v>
      </c>
    </row>
    <row r="8" spans="1:29" ht="57.6" x14ac:dyDescent="0.3">
      <c r="A8" s="121">
        <v>50</v>
      </c>
      <c r="B8" s="106" t="s">
        <v>69</v>
      </c>
      <c r="C8" s="59" t="s">
        <v>334</v>
      </c>
      <c r="D8" s="59" t="s">
        <v>335</v>
      </c>
      <c r="E8" s="42" t="s">
        <v>336</v>
      </c>
      <c r="F8" s="63">
        <v>15</v>
      </c>
      <c r="G8" s="64">
        <v>31</v>
      </c>
      <c r="H8" s="25">
        <v>16000</v>
      </c>
      <c r="I8" s="25">
        <v>16000</v>
      </c>
      <c r="J8" s="42" t="s">
        <v>296</v>
      </c>
      <c r="K8" s="42" t="s">
        <v>74</v>
      </c>
      <c r="L8" s="100">
        <v>8000</v>
      </c>
      <c r="M8" s="100">
        <v>8000</v>
      </c>
      <c r="N8" s="42" t="s">
        <v>319</v>
      </c>
      <c r="O8" s="94" t="s">
        <v>298</v>
      </c>
      <c r="P8" s="20" t="str">
        <f t="shared" si="0"/>
        <v>Kaart</v>
      </c>
      <c r="Q8" s="65">
        <v>4498.3870865872714</v>
      </c>
      <c r="R8" s="66">
        <v>946</v>
      </c>
      <c r="S8" s="78">
        <v>1</v>
      </c>
      <c r="T8" s="79">
        <v>0</v>
      </c>
      <c r="U8" s="78">
        <v>0</v>
      </c>
      <c r="V8" s="78">
        <v>3</v>
      </c>
      <c r="W8" s="108">
        <v>1</v>
      </c>
      <c r="X8" s="108">
        <v>1</v>
      </c>
      <c r="Y8" s="108">
        <v>1</v>
      </c>
      <c r="Z8" s="108">
        <v>0</v>
      </c>
      <c r="AA8" s="54" t="e">
        <f>IF(Q8&gt;10000,10000,Q8)/(I8-M8)*(S8*#REF!+T8*#REF!+U8*#REF!+V8*#REF!+W8*#REF!+X8*#REF!+Y8*#REF!+Z8*#REF!)</f>
        <v>#REF!</v>
      </c>
      <c r="AB8" s="54"/>
      <c r="AC8" s="92">
        <f t="shared" si="1"/>
        <v>8000</v>
      </c>
    </row>
    <row r="9" spans="1:29" ht="409.6" x14ac:dyDescent="0.3">
      <c r="A9" s="121">
        <v>39</v>
      </c>
      <c r="B9" s="45" t="s">
        <v>53</v>
      </c>
      <c r="C9" s="93" t="s">
        <v>282</v>
      </c>
      <c r="D9" s="93" t="s">
        <v>283</v>
      </c>
      <c r="E9" s="93" t="s">
        <v>284</v>
      </c>
      <c r="F9" s="127">
        <v>11251</v>
      </c>
      <c r="G9" s="111">
        <v>2.2999999999999998</v>
      </c>
      <c r="H9" s="40">
        <v>70000</v>
      </c>
      <c r="I9" s="92">
        <v>70000</v>
      </c>
      <c r="J9" s="24" t="s">
        <v>57</v>
      </c>
      <c r="K9" s="40" t="s">
        <v>58</v>
      </c>
      <c r="L9" s="40">
        <v>15000</v>
      </c>
      <c r="M9" s="92">
        <v>15000</v>
      </c>
      <c r="N9" s="24" t="s">
        <v>285</v>
      </c>
      <c r="O9" s="56" t="s">
        <v>286</v>
      </c>
      <c r="P9" s="61" t="str">
        <f t="shared" si="0"/>
        <v>Kaart</v>
      </c>
      <c r="Q9" s="68">
        <v>21528.248581520587</v>
      </c>
      <c r="R9" s="68">
        <v>5454</v>
      </c>
      <c r="S9" s="79">
        <v>1</v>
      </c>
      <c r="T9" s="79">
        <v>0</v>
      </c>
      <c r="U9" s="78">
        <v>1</v>
      </c>
      <c r="V9" s="79">
        <v>2</v>
      </c>
      <c r="W9" s="60">
        <v>1</v>
      </c>
      <c r="X9" s="60">
        <v>2</v>
      </c>
      <c r="Y9" s="60">
        <v>3</v>
      </c>
      <c r="Z9" s="60">
        <v>1</v>
      </c>
      <c r="AA9" s="54" t="e">
        <f>IF(Q9&gt;10000,10000,Q9)/(I9-M9)*(S9*#REF!+T9*#REF!+U9*#REF!+V9*#REF!+W9*#REF!+X9*#REF!+Y9*#REF!+Z9*#REF!)</f>
        <v>#REF!</v>
      </c>
      <c r="AB9" s="54"/>
      <c r="AC9" s="92">
        <f t="shared" si="1"/>
        <v>55000</v>
      </c>
    </row>
    <row r="10" spans="1:29" ht="72" x14ac:dyDescent="0.3">
      <c r="A10" s="121">
        <v>9</v>
      </c>
      <c r="B10" s="101" t="s">
        <v>43</v>
      </c>
      <c r="C10" s="19" t="s">
        <v>300</v>
      </c>
      <c r="D10" s="19" t="s">
        <v>301</v>
      </c>
      <c r="E10" s="19" t="s">
        <v>302</v>
      </c>
      <c r="F10" s="63">
        <v>22253</v>
      </c>
      <c r="G10" s="126">
        <v>0.50600000000000001</v>
      </c>
      <c r="H10" s="19" t="s">
        <v>303</v>
      </c>
      <c r="I10" s="102">
        <v>50000</v>
      </c>
      <c r="J10" s="19" t="s">
        <v>179</v>
      </c>
      <c r="K10" s="19" t="s">
        <v>83</v>
      </c>
      <c r="L10" s="19" t="s">
        <v>304</v>
      </c>
      <c r="M10" s="87">
        <v>0</v>
      </c>
      <c r="N10" s="19" t="s">
        <v>303</v>
      </c>
      <c r="O10" s="94" t="s">
        <v>272</v>
      </c>
      <c r="P10" s="20" t="str">
        <f t="shared" si="0"/>
        <v>Kaart</v>
      </c>
      <c r="Q10" s="65">
        <v>76449.027679729072</v>
      </c>
      <c r="R10" s="67">
        <v>1358</v>
      </c>
      <c r="S10" s="78">
        <v>0</v>
      </c>
      <c r="T10" s="78">
        <v>0</v>
      </c>
      <c r="U10" s="78">
        <v>0</v>
      </c>
      <c r="V10" s="78">
        <v>2</v>
      </c>
      <c r="W10" s="54">
        <v>1</v>
      </c>
      <c r="X10" s="54">
        <v>2</v>
      </c>
      <c r="Y10" s="54">
        <v>3</v>
      </c>
      <c r="Z10" s="91">
        <v>1</v>
      </c>
      <c r="AA10" s="54" t="e">
        <f>IF(Q10&gt;10000,10000,Q10)/(I10-M10)*(S10*#REF!+T10*#REF!+U10*#REF!+V10*#REF!+W10*#REF!+X10*#REF!+Y10*#REF!+Z10*#REF!)</f>
        <v>#REF!</v>
      </c>
      <c r="AB10" s="119" t="s">
        <v>410</v>
      </c>
      <c r="AC10" s="92">
        <f t="shared" si="1"/>
        <v>50000</v>
      </c>
    </row>
    <row r="11" spans="1:29" ht="72" x14ac:dyDescent="0.3">
      <c r="A11" s="121">
        <v>9</v>
      </c>
      <c r="B11" s="101" t="s">
        <v>43</v>
      </c>
      <c r="C11" s="19" t="s">
        <v>300</v>
      </c>
      <c r="D11" s="19" t="s">
        <v>301</v>
      </c>
      <c r="E11" s="19" t="s">
        <v>302</v>
      </c>
      <c r="F11" s="63">
        <v>22253</v>
      </c>
      <c r="G11" s="126">
        <v>2.15</v>
      </c>
      <c r="H11" s="19" t="s">
        <v>303</v>
      </c>
      <c r="I11" s="102">
        <v>50000</v>
      </c>
      <c r="J11" s="19" t="s">
        <v>179</v>
      </c>
      <c r="K11" s="19" t="s">
        <v>83</v>
      </c>
      <c r="L11" s="19" t="s">
        <v>304</v>
      </c>
      <c r="M11" s="87">
        <v>0</v>
      </c>
      <c r="N11" s="19" t="s">
        <v>303</v>
      </c>
      <c r="O11" s="94" t="s">
        <v>272</v>
      </c>
      <c r="P11" s="20" t="str">
        <f t="shared" si="0"/>
        <v>Kaart</v>
      </c>
      <c r="Q11" s="65">
        <v>52194.672942406789</v>
      </c>
      <c r="R11" s="67">
        <v>1358</v>
      </c>
      <c r="S11" s="78">
        <v>0</v>
      </c>
      <c r="T11" s="78">
        <v>0</v>
      </c>
      <c r="U11" s="78">
        <v>0</v>
      </c>
      <c r="V11" s="78">
        <v>2</v>
      </c>
      <c r="W11" s="54">
        <v>1</v>
      </c>
      <c r="X11" s="54">
        <v>2</v>
      </c>
      <c r="Y11" s="54">
        <v>3</v>
      </c>
      <c r="Z11" s="54">
        <v>1</v>
      </c>
      <c r="AA11" s="54" t="e">
        <f>IF(Q11&gt;10000,10000,Q11)/(I11-M11)*(S11*#REF!+T11*#REF!+U11*#REF!+V11*#REF!+W11*#REF!+X11*#REF!+Y11*#REF!+Z11*#REF!)</f>
        <v>#REF!</v>
      </c>
      <c r="AB11" s="119" t="s">
        <v>410</v>
      </c>
      <c r="AC11" s="92">
        <f t="shared" si="1"/>
        <v>50000</v>
      </c>
    </row>
    <row r="12" spans="1:29" ht="72" x14ac:dyDescent="0.3">
      <c r="A12" s="121">
        <v>9</v>
      </c>
      <c r="B12" s="101" t="s">
        <v>43</v>
      </c>
      <c r="C12" s="19" t="s">
        <v>300</v>
      </c>
      <c r="D12" s="19" t="s">
        <v>301</v>
      </c>
      <c r="E12" s="19" t="s">
        <v>302</v>
      </c>
      <c r="F12" s="63">
        <v>22253</v>
      </c>
      <c r="G12" s="126">
        <v>3.52</v>
      </c>
      <c r="H12" s="19" t="s">
        <v>303</v>
      </c>
      <c r="I12" s="102">
        <v>50000</v>
      </c>
      <c r="J12" s="19" t="s">
        <v>179</v>
      </c>
      <c r="K12" s="19" t="s">
        <v>83</v>
      </c>
      <c r="L12" s="19" t="s">
        <v>304</v>
      </c>
      <c r="M12" s="87">
        <v>0</v>
      </c>
      <c r="N12" s="19" t="s">
        <v>303</v>
      </c>
      <c r="O12" s="94" t="s">
        <v>272</v>
      </c>
      <c r="P12" s="20" t="str">
        <f t="shared" si="0"/>
        <v>Kaart</v>
      </c>
      <c r="Q12" s="65">
        <v>32645.389670281147</v>
      </c>
      <c r="R12" s="67">
        <v>1358</v>
      </c>
      <c r="S12" s="78">
        <v>0</v>
      </c>
      <c r="T12" s="78">
        <v>0</v>
      </c>
      <c r="U12" s="78">
        <v>0</v>
      </c>
      <c r="V12" s="78">
        <v>2</v>
      </c>
      <c r="W12" s="54">
        <v>1</v>
      </c>
      <c r="X12" s="54">
        <v>2</v>
      </c>
      <c r="Y12" s="54">
        <v>3</v>
      </c>
      <c r="Z12" s="54">
        <v>1</v>
      </c>
      <c r="AA12" s="54" t="e">
        <f>IF(Q12&gt;10000,10000,Q12)/(I12-M12)*(S12*#REF!+T12*#REF!+U12*#REF!+V12*#REF!+W12*#REF!+X12*#REF!+Y12*#REF!+Z12*#REF!)</f>
        <v>#REF!</v>
      </c>
      <c r="AB12" s="119" t="s">
        <v>410</v>
      </c>
      <c r="AC12" s="92">
        <f t="shared" si="1"/>
        <v>50000</v>
      </c>
    </row>
    <row r="13" spans="1:29" ht="259.2" x14ac:dyDescent="0.3">
      <c r="A13" s="121">
        <v>27</v>
      </c>
      <c r="B13" s="44" t="s">
        <v>305</v>
      </c>
      <c r="C13" s="93" t="s">
        <v>306</v>
      </c>
      <c r="D13" s="93" t="s">
        <v>307</v>
      </c>
      <c r="E13" s="93" t="s">
        <v>308</v>
      </c>
      <c r="F13" s="63">
        <v>1</v>
      </c>
      <c r="G13" s="111">
        <v>185.7</v>
      </c>
      <c r="H13" s="92">
        <v>80000</v>
      </c>
      <c r="I13" s="92">
        <v>80000</v>
      </c>
      <c r="J13" s="93" t="s">
        <v>309</v>
      </c>
      <c r="K13" s="93" t="s">
        <v>310</v>
      </c>
      <c r="L13" s="92">
        <v>10000</v>
      </c>
      <c r="M13" s="92">
        <v>10000</v>
      </c>
      <c r="N13" s="93" t="s">
        <v>311</v>
      </c>
      <c r="O13" s="94"/>
      <c r="P13" s="20" t="str">
        <f t="shared" si="0"/>
        <v>Kaart</v>
      </c>
      <c r="Q13" s="65">
        <v>12407.196490292006</v>
      </c>
      <c r="R13" s="67">
        <v>8515</v>
      </c>
      <c r="S13" s="78">
        <v>2</v>
      </c>
      <c r="T13" s="79">
        <v>0</v>
      </c>
      <c r="U13" s="78">
        <v>0</v>
      </c>
      <c r="V13" s="78">
        <v>2</v>
      </c>
      <c r="W13" s="54">
        <v>2</v>
      </c>
      <c r="X13" s="54">
        <v>1</v>
      </c>
      <c r="Y13" s="54">
        <v>2</v>
      </c>
      <c r="Z13" s="54">
        <v>3</v>
      </c>
      <c r="AA13" s="54" t="e">
        <f>IF(Q13&gt;10000,10000,Q13)/(I13-M13)*(S13*#REF!+T13*#REF!+U13*#REF!+V13*#REF!+W13*#REF!+X13*#REF!+Y13*#REF!+Z13*#REF!)</f>
        <v>#REF!</v>
      </c>
      <c r="AB13" s="54"/>
      <c r="AC13" s="92">
        <f t="shared" si="1"/>
        <v>70000</v>
      </c>
    </row>
    <row r="14" spans="1:29" ht="72" x14ac:dyDescent="0.3">
      <c r="A14" s="121">
        <v>48</v>
      </c>
      <c r="B14" s="99" t="s">
        <v>69</v>
      </c>
      <c r="C14" s="42" t="s">
        <v>362</v>
      </c>
      <c r="D14" s="42" t="s">
        <v>363</v>
      </c>
      <c r="E14" s="42" t="s">
        <v>364</v>
      </c>
      <c r="F14" s="63">
        <v>11202</v>
      </c>
      <c r="G14" s="64">
        <v>23</v>
      </c>
      <c r="H14" s="25">
        <v>8000</v>
      </c>
      <c r="I14" s="25">
        <v>8000</v>
      </c>
      <c r="J14" s="42" t="s">
        <v>296</v>
      </c>
      <c r="K14" s="42" t="s">
        <v>74</v>
      </c>
      <c r="L14" s="100">
        <v>4000</v>
      </c>
      <c r="M14" s="100">
        <v>4000</v>
      </c>
      <c r="N14" s="42" t="s">
        <v>297</v>
      </c>
      <c r="O14" s="94" t="s">
        <v>298</v>
      </c>
      <c r="P14" s="20" t="str">
        <f t="shared" si="0"/>
        <v>Kaart</v>
      </c>
      <c r="Q14" s="65">
        <v>1591.140208689111</v>
      </c>
      <c r="R14" s="67">
        <v>708</v>
      </c>
      <c r="S14" s="78">
        <v>2</v>
      </c>
      <c r="T14" s="79">
        <v>0</v>
      </c>
      <c r="U14" s="78">
        <v>0</v>
      </c>
      <c r="V14" s="78">
        <v>3</v>
      </c>
      <c r="W14" s="108">
        <v>0</v>
      </c>
      <c r="X14" s="108">
        <v>0</v>
      </c>
      <c r="Y14" s="108">
        <v>1</v>
      </c>
      <c r="Z14" s="108">
        <v>0</v>
      </c>
      <c r="AA14" s="54" t="e">
        <f>IF(Q14&gt;10000,10000,Q14)/(I14-M14)*(S14*#REF!+T14*#REF!+U14*#REF!+V14*#REF!+W14*#REF!+X14*#REF!+Y14*#REF!+Z14*#REF!)</f>
        <v>#REF!</v>
      </c>
      <c r="AB14" s="54"/>
      <c r="AC14" s="92">
        <f t="shared" si="1"/>
        <v>4000</v>
      </c>
    </row>
    <row r="15" spans="1:29" ht="409.6" x14ac:dyDescent="0.3">
      <c r="A15" s="121">
        <v>40</v>
      </c>
      <c r="B15" s="44" t="s">
        <v>53</v>
      </c>
      <c r="C15" s="93" t="s">
        <v>320</v>
      </c>
      <c r="D15" s="93" t="s">
        <v>321</v>
      </c>
      <c r="E15" s="93" t="s">
        <v>322</v>
      </c>
      <c r="F15" s="63">
        <v>11251</v>
      </c>
      <c r="G15" s="111">
        <v>2.6</v>
      </c>
      <c r="H15" s="92">
        <v>60000</v>
      </c>
      <c r="I15" s="92">
        <v>80000</v>
      </c>
      <c r="J15" s="93" t="s">
        <v>57</v>
      </c>
      <c r="K15" s="93" t="s">
        <v>58</v>
      </c>
      <c r="L15" s="92">
        <v>12000</v>
      </c>
      <c r="M15" s="92">
        <v>12000</v>
      </c>
      <c r="N15" s="39" t="s">
        <v>285</v>
      </c>
      <c r="O15" s="94" t="s">
        <v>323</v>
      </c>
      <c r="P15" s="20" t="str">
        <f t="shared" si="0"/>
        <v>Kaart</v>
      </c>
      <c r="Q15" s="65">
        <v>18952.90999435401</v>
      </c>
      <c r="R15" s="67">
        <v>5454</v>
      </c>
      <c r="S15" s="78">
        <v>1</v>
      </c>
      <c r="T15" s="79">
        <v>0</v>
      </c>
      <c r="U15" s="78">
        <v>0</v>
      </c>
      <c r="V15" s="78">
        <v>2</v>
      </c>
      <c r="W15" s="54">
        <v>1</v>
      </c>
      <c r="X15" s="54">
        <v>1</v>
      </c>
      <c r="Y15" s="54">
        <v>3</v>
      </c>
      <c r="Z15" s="54">
        <v>1</v>
      </c>
      <c r="AA15" s="54" t="e">
        <f>IF(Q15&gt;10000,10000,Q15)/(I15-M15)*(S15*#REF!+T15*#REF!+U15*#REF!+V15*#REF!+W15*#REF!+X15*#REF!+Y15*#REF!+Z15*#REF!)</f>
        <v>#REF!</v>
      </c>
      <c r="AB15" s="54"/>
      <c r="AC15" s="92">
        <f t="shared" si="1"/>
        <v>68000</v>
      </c>
    </row>
    <row r="16" spans="1:29" ht="72" x14ac:dyDescent="0.3">
      <c r="A16" s="121">
        <v>57</v>
      </c>
      <c r="B16" s="99" t="s">
        <v>69</v>
      </c>
      <c r="C16" s="42" t="s">
        <v>324</v>
      </c>
      <c r="D16" s="42" t="s">
        <v>325</v>
      </c>
      <c r="E16" s="42" t="s">
        <v>326</v>
      </c>
      <c r="F16" s="63">
        <v>20107</v>
      </c>
      <c r="G16" s="64">
        <v>5.2</v>
      </c>
      <c r="H16" s="25">
        <v>10000</v>
      </c>
      <c r="I16" s="25">
        <v>50000</v>
      </c>
      <c r="J16" s="42" t="s">
        <v>296</v>
      </c>
      <c r="K16" s="42" t="s">
        <v>74</v>
      </c>
      <c r="L16" s="100">
        <v>5000</v>
      </c>
      <c r="M16" s="100">
        <v>5000</v>
      </c>
      <c r="N16" s="42" t="s">
        <v>319</v>
      </c>
      <c r="O16" s="94" t="s">
        <v>298</v>
      </c>
      <c r="P16" s="20" t="str">
        <f t="shared" si="0"/>
        <v>Kaart</v>
      </c>
      <c r="Q16" s="65">
        <v>4440.4908744659097</v>
      </c>
      <c r="R16" s="67">
        <v>1531</v>
      </c>
      <c r="S16" s="78">
        <v>1</v>
      </c>
      <c r="T16" s="79">
        <v>0</v>
      </c>
      <c r="U16" s="78">
        <v>0</v>
      </c>
      <c r="V16" s="78">
        <v>3</v>
      </c>
      <c r="W16" s="54">
        <v>2</v>
      </c>
      <c r="X16" s="54">
        <v>1</v>
      </c>
      <c r="Y16" s="54">
        <v>2</v>
      </c>
      <c r="Z16" s="54">
        <v>0</v>
      </c>
      <c r="AA16" s="54" t="e">
        <f>IF(Q16&gt;10000,10000,Q16)/(I16-M16)*(S16*#REF!+T16*#REF!+U16*#REF!+V16*#REF!+W16*#REF!+X16*#REF!+Y16*#REF!+Z16*#REF!)</f>
        <v>#REF!</v>
      </c>
      <c r="AB16" s="54"/>
      <c r="AC16" s="92">
        <f t="shared" si="1"/>
        <v>45000</v>
      </c>
    </row>
    <row r="17" spans="1:29" ht="409.6" x14ac:dyDescent="0.3">
      <c r="A17" s="121">
        <v>35</v>
      </c>
      <c r="B17" s="44" t="s">
        <v>53</v>
      </c>
      <c r="C17" s="93" t="s">
        <v>394</v>
      </c>
      <c r="D17" s="23" t="s">
        <v>395</v>
      </c>
      <c r="E17" s="93" t="s">
        <v>396</v>
      </c>
      <c r="F17" s="63">
        <v>11254</v>
      </c>
      <c r="G17" s="111">
        <v>2.2000000000000002</v>
      </c>
      <c r="H17" s="37">
        <v>70000</v>
      </c>
      <c r="I17" s="37">
        <v>70000</v>
      </c>
      <c r="J17" s="33" t="s">
        <v>57</v>
      </c>
      <c r="K17" s="33" t="s">
        <v>58</v>
      </c>
      <c r="L17" s="37">
        <v>12000</v>
      </c>
      <c r="M17" s="37">
        <v>12000</v>
      </c>
      <c r="N17" s="23" t="s">
        <v>397</v>
      </c>
      <c r="O17" s="94" t="s">
        <v>398</v>
      </c>
      <c r="P17" s="20" t="str">
        <f t="shared" si="0"/>
        <v>Kaart</v>
      </c>
      <c r="Q17" s="65">
        <v>40496.745802477351</v>
      </c>
      <c r="R17" s="67">
        <v>1826</v>
      </c>
      <c r="S17" s="78">
        <v>1</v>
      </c>
      <c r="T17" s="79">
        <v>0</v>
      </c>
      <c r="U17" s="78">
        <v>1</v>
      </c>
      <c r="V17" s="78">
        <v>2</v>
      </c>
      <c r="W17" s="54">
        <v>0</v>
      </c>
      <c r="X17" s="54">
        <v>0</v>
      </c>
      <c r="Y17" s="54">
        <v>3</v>
      </c>
      <c r="Z17" s="54">
        <v>0</v>
      </c>
      <c r="AA17" s="54" t="e">
        <f>IF(Q17&gt;10000,10000,Q17)/(I17-M17)*(S17*#REF!+T17*#REF!+U17*#REF!+V17*#REF!+W17*#REF!+X17*#REF!+Y17*#REF!+Z17*#REF!)</f>
        <v>#REF!</v>
      </c>
      <c r="AB17" s="54"/>
      <c r="AC17" s="92">
        <f t="shared" si="1"/>
        <v>58000</v>
      </c>
    </row>
    <row r="18" spans="1:29" ht="57.6" x14ac:dyDescent="0.3">
      <c r="A18" s="121">
        <v>18</v>
      </c>
      <c r="B18" s="44" t="s">
        <v>43</v>
      </c>
      <c r="C18" s="93" t="s">
        <v>327</v>
      </c>
      <c r="D18" s="93" t="s">
        <v>328</v>
      </c>
      <c r="E18" s="93" t="s">
        <v>329</v>
      </c>
      <c r="F18" s="63">
        <v>22154</v>
      </c>
      <c r="G18" s="113">
        <v>3.44</v>
      </c>
      <c r="H18" s="92">
        <v>50000</v>
      </c>
      <c r="I18" s="92">
        <v>50000</v>
      </c>
      <c r="J18" s="93" t="s">
        <v>330</v>
      </c>
      <c r="K18" s="93" t="s">
        <v>331</v>
      </c>
      <c r="L18" s="92">
        <v>15000</v>
      </c>
      <c r="M18" s="92">
        <v>15000</v>
      </c>
      <c r="N18" s="93" t="s">
        <v>332</v>
      </c>
      <c r="O18" s="94" t="s">
        <v>333</v>
      </c>
      <c r="P18" s="20" t="str">
        <f t="shared" si="0"/>
        <v>Kaart</v>
      </c>
      <c r="Q18" s="65">
        <v>3159.8566714806739</v>
      </c>
      <c r="R18" s="67">
        <v>1219</v>
      </c>
      <c r="S18" s="78">
        <v>1</v>
      </c>
      <c r="T18" s="79">
        <v>0</v>
      </c>
      <c r="U18" s="78">
        <v>0</v>
      </c>
      <c r="V18" s="78">
        <v>2</v>
      </c>
      <c r="W18" s="108">
        <v>2</v>
      </c>
      <c r="X18" s="108">
        <v>2</v>
      </c>
      <c r="Y18" s="108">
        <v>2</v>
      </c>
      <c r="Z18" s="108">
        <v>0</v>
      </c>
      <c r="AA18" s="54" t="e">
        <f>IF(Q18&gt;10000,10000,Q18)/(I18-M18)*(S18*#REF!+T18*#REF!+U18*#REF!+V18*#REF!+W18*#REF!+X18*#REF!+Y18*#REF!+Z18*#REF!)</f>
        <v>#REF!</v>
      </c>
      <c r="AB18" s="54"/>
      <c r="AC18" s="92">
        <f t="shared" si="1"/>
        <v>35000</v>
      </c>
    </row>
    <row r="19" spans="1:29" ht="101.25" customHeight="1" x14ac:dyDescent="0.3">
      <c r="A19" s="121">
        <v>52</v>
      </c>
      <c r="B19" s="99" t="s">
        <v>69</v>
      </c>
      <c r="C19" s="42" t="s">
        <v>399</v>
      </c>
      <c r="D19" s="42" t="s">
        <v>400</v>
      </c>
      <c r="E19" s="42" t="s">
        <v>401</v>
      </c>
      <c r="F19" s="63">
        <v>11202</v>
      </c>
      <c r="G19" s="64">
        <v>22</v>
      </c>
      <c r="H19" s="25">
        <v>16000</v>
      </c>
      <c r="I19" s="25">
        <v>16000</v>
      </c>
      <c r="J19" s="42" t="s">
        <v>296</v>
      </c>
      <c r="K19" s="42" t="s">
        <v>74</v>
      </c>
      <c r="L19" s="100">
        <v>8000</v>
      </c>
      <c r="M19" s="100">
        <v>8000</v>
      </c>
      <c r="N19" s="42" t="s">
        <v>319</v>
      </c>
      <c r="O19" s="94" t="s">
        <v>298</v>
      </c>
      <c r="P19" s="20" t="str">
        <f t="shared" si="0"/>
        <v>Kaart</v>
      </c>
      <c r="Q19" s="65">
        <v>961.52666993289404</v>
      </c>
      <c r="R19" s="67">
        <v>708</v>
      </c>
      <c r="S19" s="78">
        <v>1</v>
      </c>
      <c r="T19" s="79">
        <v>0</v>
      </c>
      <c r="U19" s="78">
        <v>0</v>
      </c>
      <c r="V19" s="78">
        <v>3</v>
      </c>
      <c r="W19" s="108">
        <v>1</v>
      </c>
      <c r="X19" s="108">
        <v>2</v>
      </c>
      <c r="Y19" s="108">
        <v>1</v>
      </c>
      <c r="Z19" s="108">
        <v>0</v>
      </c>
      <c r="AA19" s="54" t="e">
        <f>IF(Q19&gt;10000,10000,Q19)/(I19-M19)*(S19*#REF!+T19*#REF!+U19*#REF!+V19*#REF!+W19*#REF!+X19*#REF!+Y19*#REF!+Z19*#REF!)</f>
        <v>#REF!</v>
      </c>
      <c r="AB19" s="93" t="s">
        <v>411</v>
      </c>
      <c r="AC19" s="92">
        <f t="shared" si="1"/>
        <v>8000</v>
      </c>
    </row>
    <row r="20" spans="1:29" ht="409.6" x14ac:dyDescent="0.3">
      <c r="A20" s="121">
        <v>38</v>
      </c>
      <c r="B20" s="44" t="s">
        <v>53</v>
      </c>
      <c r="C20" s="93" t="s">
        <v>337</v>
      </c>
      <c r="D20" s="93" t="s">
        <v>338</v>
      </c>
      <c r="E20" s="93" t="s">
        <v>339</v>
      </c>
      <c r="F20" s="63">
        <v>11251</v>
      </c>
      <c r="G20" s="111">
        <v>3.7</v>
      </c>
      <c r="H20" s="92">
        <v>70000</v>
      </c>
      <c r="I20" s="92">
        <v>150000</v>
      </c>
      <c r="J20" s="93" t="s">
        <v>57</v>
      </c>
      <c r="K20" s="93" t="s">
        <v>58</v>
      </c>
      <c r="L20" s="92">
        <v>17500</v>
      </c>
      <c r="M20" s="92">
        <v>17500</v>
      </c>
      <c r="N20" s="39" t="s">
        <v>285</v>
      </c>
      <c r="O20" s="94" t="s">
        <v>323</v>
      </c>
      <c r="P20" s="20" t="str">
        <f t="shared" si="0"/>
        <v>Kaart</v>
      </c>
      <c r="Q20" s="65">
        <v>15402.786433345102</v>
      </c>
      <c r="R20" s="67">
        <v>5454</v>
      </c>
      <c r="S20" s="78">
        <v>1</v>
      </c>
      <c r="T20" s="79">
        <v>0</v>
      </c>
      <c r="U20" s="78">
        <v>0</v>
      </c>
      <c r="V20" s="78">
        <v>2</v>
      </c>
      <c r="W20" s="54">
        <v>1</v>
      </c>
      <c r="X20" s="54">
        <v>2</v>
      </c>
      <c r="Y20" s="54">
        <v>3</v>
      </c>
      <c r="Z20" s="54">
        <v>1</v>
      </c>
      <c r="AA20" s="54" t="e">
        <f>IF(Q20&gt;10000,10000,Q20)/(I20-M20)*(S20*#REF!+T20*#REF!+U20*#REF!+V20*#REF!+W20*#REF!+X20*#REF!+Y20*#REF!+Z20*#REF!)</f>
        <v>#REF!</v>
      </c>
      <c r="AB20" s="54"/>
      <c r="AC20" s="92">
        <f t="shared" si="1"/>
        <v>132500</v>
      </c>
    </row>
    <row r="21" spans="1:29" ht="72" x14ac:dyDescent="0.3">
      <c r="A21" s="121">
        <v>56</v>
      </c>
      <c r="B21" s="41" t="s">
        <v>69</v>
      </c>
      <c r="C21" s="42" t="s">
        <v>316</v>
      </c>
      <c r="D21" s="42" t="s">
        <v>317</v>
      </c>
      <c r="E21" s="42" t="s">
        <v>318</v>
      </c>
      <c r="F21" s="63">
        <v>15</v>
      </c>
      <c r="G21" s="64">
        <v>25</v>
      </c>
      <c r="H21" s="25">
        <v>16000</v>
      </c>
      <c r="I21" s="58">
        <v>100000</v>
      </c>
      <c r="J21" s="42" t="s">
        <v>296</v>
      </c>
      <c r="K21" s="42" t="s">
        <v>74</v>
      </c>
      <c r="L21" s="100">
        <v>8000</v>
      </c>
      <c r="M21" s="100">
        <v>8000</v>
      </c>
      <c r="N21" s="42" t="s">
        <v>297</v>
      </c>
      <c r="O21" s="94" t="s">
        <v>315</v>
      </c>
      <c r="P21" s="20" t="str">
        <f t="shared" si="0"/>
        <v>Kaart</v>
      </c>
      <c r="Q21" s="65">
        <v>4624.4950712334321</v>
      </c>
      <c r="R21" s="66">
        <v>7166</v>
      </c>
      <c r="S21" s="78">
        <v>2</v>
      </c>
      <c r="T21" s="79">
        <v>0</v>
      </c>
      <c r="U21" s="78">
        <v>1</v>
      </c>
      <c r="V21" s="78">
        <v>3</v>
      </c>
      <c r="W21" s="54">
        <v>2</v>
      </c>
      <c r="X21" s="54">
        <v>2</v>
      </c>
      <c r="Y21" s="54">
        <v>2</v>
      </c>
      <c r="Z21" s="54">
        <v>1</v>
      </c>
      <c r="AA21" s="54" t="e">
        <f>IF(Q21&gt;10000,10000,Q21)/(I21-M21)*(S21*#REF!+T21*#REF!+U21*#REF!+V21*#REF!+W21*#REF!+X21*#REF!+Y21*#REF!+Z21*#REF!)</f>
        <v>#REF!</v>
      </c>
      <c r="AB21" s="54"/>
      <c r="AC21" s="92">
        <f t="shared" si="1"/>
        <v>92000</v>
      </c>
    </row>
    <row r="22" spans="1:29" ht="72" x14ac:dyDescent="0.3">
      <c r="A22" s="121">
        <v>9</v>
      </c>
      <c r="B22" s="103" t="s">
        <v>43</v>
      </c>
      <c r="C22" s="19" t="s">
        <v>300</v>
      </c>
      <c r="D22" s="19" t="s">
        <v>301</v>
      </c>
      <c r="E22" s="19" t="s">
        <v>302</v>
      </c>
      <c r="F22" s="63">
        <v>22253</v>
      </c>
      <c r="G22" s="126">
        <v>5.47</v>
      </c>
      <c r="H22" s="19" t="s">
        <v>303</v>
      </c>
      <c r="I22" s="102">
        <v>50000</v>
      </c>
      <c r="J22" s="19" t="s">
        <v>179</v>
      </c>
      <c r="K22" s="19" t="s">
        <v>83</v>
      </c>
      <c r="L22" s="19" t="s">
        <v>304</v>
      </c>
      <c r="M22" s="87">
        <v>0</v>
      </c>
      <c r="N22" s="19" t="s">
        <v>303</v>
      </c>
      <c r="O22" s="123" t="s">
        <v>272</v>
      </c>
      <c r="P22" s="20" t="str">
        <f t="shared" si="0"/>
        <v>Kaart</v>
      </c>
      <c r="Q22" s="65">
        <v>3247.5802044588149</v>
      </c>
      <c r="R22" s="67">
        <v>1271</v>
      </c>
      <c r="S22" s="78">
        <v>0</v>
      </c>
      <c r="T22" s="78">
        <v>0</v>
      </c>
      <c r="U22" s="78">
        <v>0</v>
      </c>
      <c r="V22" s="78">
        <v>2</v>
      </c>
      <c r="W22" s="54">
        <v>1</v>
      </c>
      <c r="X22" s="54">
        <v>2</v>
      </c>
      <c r="Y22" s="54">
        <v>3</v>
      </c>
      <c r="Z22" s="54">
        <v>1</v>
      </c>
      <c r="AA22" s="54" t="e">
        <f>IF(Q22&gt;10000,10000,Q22)/(I22-M22)*(S22*#REF!+T22*#REF!+U22*#REF!+V22*#REF!+W22*#REF!+X22*#REF!+Y22*#REF!+Z22*#REF!)</f>
        <v>#REF!</v>
      </c>
      <c r="AB22" s="119" t="s">
        <v>410</v>
      </c>
      <c r="AC22" s="92">
        <f t="shared" si="1"/>
        <v>50000</v>
      </c>
    </row>
    <row r="23" spans="1:29" ht="43.2" x14ac:dyDescent="0.3">
      <c r="A23" s="121">
        <v>19</v>
      </c>
      <c r="B23" s="46" t="s">
        <v>43</v>
      </c>
      <c r="C23" s="96" t="s">
        <v>340</v>
      </c>
      <c r="D23" s="96" t="s">
        <v>341</v>
      </c>
      <c r="E23" s="96" t="s">
        <v>342</v>
      </c>
      <c r="F23" s="115">
        <v>3</v>
      </c>
      <c r="G23" s="128">
        <v>150.77099999999999</v>
      </c>
      <c r="H23" s="88">
        <v>30000</v>
      </c>
      <c r="I23" s="88">
        <v>30000</v>
      </c>
      <c r="J23" s="96" t="s">
        <v>330</v>
      </c>
      <c r="K23" s="96" t="s">
        <v>343</v>
      </c>
      <c r="L23" s="88">
        <v>0</v>
      </c>
      <c r="M23" s="88">
        <v>0</v>
      </c>
      <c r="N23" s="96" t="s">
        <v>332</v>
      </c>
      <c r="O23" s="57" t="s">
        <v>344</v>
      </c>
      <c r="P23" s="20" t="str">
        <f t="shared" si="0"/>
        <v>Kaart</v>
      </c>
      <c r="Q23" s="65">
        <v>3159.2200456949367</v>
      </c>
      <c r="R23" s="67">
        <v>8293</v>
      </c>
      <c r="S23" s="78">
        <v>1</v>
      </c>
      <c r="T23" s="79">
        <v>0</v>
      </c>
      <c r="U23" s="78">
        <v>0</v>
      </c>
      <c r="V23" s="78">
        <v>0</v>
      </c>
      <c r="W23" s="54">
        <v>1</v>
      </c>
      <c r="X23" s="54">
        <v>1</v>
      </c>
      <c r="Y23" s="54">
        <v>1</v>
      </c>
      <c r="Z23" s="54">
        <v>1</v>
      </c>
      <c r="AA23" s="54" t="e">
        <f>IF(Q23&gt;10000,10000,Q23)/(I23-M23)*(S23*#REF!+T23*#REF!+U23*#REF!+V23*#REF!+W23*#REF!+X23*#REF!+Y23*#REF!+Z23*#REF!)</f>
        <v>#REF!</v>
      </c>
      <c r="AB23" s="54"/>
      <c r="AC23" s="92">
        <f t="shared" si="1"/>
        <v>30000</v>
      </c>
    </row>
    <row r="24" spans="1:29" ht="72" x14ac:dyDescent="0.3">
      <c r="A24" s="121">
        <v>23</v>
      </c>
      <c r="B24" s="44" t="s">
        <v>53</v>
      </c>
      <c r="C24" s="93" t="s">
        <v>287</v>
      </c>
      <c r="D24" s="93" t="s">
        <v>288</v>
      </c>
      <c r="E24" s="93" t="s">
        <v>289</v>
      </c>
      <c r="F24" s="63">
        <v>11162</v>
      </c>
      <c r="G24" s="129">
        <v>0.55000000000000004</v>
      </c>
      <c r="H24" s="92">
        <v>30000</v>
      </c>
      <c r="I24" s="92">
        <v>30000</v>
      </c>
      <c r="J24" s="93" t="s">
        <v>144</v>
      </c>
      <c r="K24" s="17">
        <v>0.1</v>
      </c>
      <c r="L24" s="54">
        <v>3000</v>
      </c>
      <c r="M24" s="92">
        <v>3000</v>
      </c>
      <c r="N24" s="93" t="s">
        <v>290</v>
      </c>
      <c r="O24" s="94" t="s">
        <v>291</v>
      </c>
      <c r="P24" s="20" t="str">
        <f t="shared" si="0"/>
        <v>Kaart</v>
      </c>
      <c r="Q24" s="65">
        <v>1260.4357482551786</v>
      </c>
      <c r="R24" s="67">
        <v>864</v>
      </c>
      <c r="S24" s="78">
        <v>1</v>
      </c>
      <c r="T24" s="104">
        <v>3</v>
      </c>
      <c r="U24" s="78">
        <v>1</v>
      </c>
      <c r="V24" s="78">
        <v>2</v>
      </c>
      <c r="W24" s="108">
        <v>2</v>
      </c>
      <c r="X24" s="108">
        <v>0</v>
      </c>
      <c r="Y24" s="108">
        <v>2</v>
      </c>
      <c r="Z24" s="108">
        <v>0</v>
      </c>
      <c r="AA24" s="54" t="e">
        <f>IF(Q24&gt;10000,10000,Q24)/(I24-M24)*(S24*#REF!+T24*#REF!+U24*#REF!+V24*#REF!+W24*#REF!+X24*#REF!+Y24*#REF!+Z24*#REF!)</f>
        <v>#REF!</v>
      </c>
      <c r="AB24" s="54"/>
      <c r="AC24" s="92">
        <f t="shared" si="1"/>
        <v>27000</v>
      </c>
    </row>
    <row r="25" spans="1:29" ht="72" x14ac:dyDescent="0.3">
      <c r="A25" s="121">
        <v>55</v>
      </c>
      <c r="B25" s="99" t="s">
        <v>69</v>
      </c>
      <c r="C25" s="42" t="s">
        <v>358</v>
      </c>
      <c r="D25" s="42" t="s">
        <v>359</v>
      </c>
      <c r="E25" s="42" t="s">
        <v>360</v>
      </c>
      <c r="F25" s="63">
        <v>20101</v>
      </c>
      <c r="G25" s="64">
        <v>6.7</v>
      </c>
      <c r="H25" s="25">
        <v>8000</v>
      </c>
      <c r="I25" s="25">
        <v>8000</v>
      </c>
      <c r="J25" s="42" t="s">
        <v>296</v>
      </c>
      <c r="K25" s="42" t="s">
        <v>74</v>
      </c>
      <c r="L25" s="100">
        <v>4000</v>
      </c>
      <c r="M25" s="100">
        <v>4000</v>
      </c>
      <c r="N25" s="42" t="s">
        <v>297</v>
      </c>
      <c r="O25" s="94" t="s">
        <v>298</v>
      </c>
      <c r="P25" s="20" t="str">
        <f t="shared" si="0"/>
        <v>Kaart</v>
      </c>
      <c r="Q25" s="65">
        <v>334.99931972778199</v>
      </c>
      <c r="R25" s="67">
        <v>738</v>
      </c>
      <c r="S25" s="78">
        <v>2</v>
      </c>
      <c r="T25" s="79">
        <v>0</v>
      </c>
      <c r="U25" s="78">
        <v>0</v>
      </c>
      <c r="V25" s="78">
        <v>3</v>
      </c>
      <c r="W25" s="108">
        <v>0</v>
      </c>
      <c r="X25" s="108">
        <v>0</v>
      </c>
      <c r="Y25" s="108">
        <v>1</v>
      </c>
      <c r="Z25" s="108">
        <v>2</v>
      </c>
      <c r="AA25" s="54" t="e">
        <f>IF(Q25&gt;10000,10000,Q25)/(I25-M25)*(S25*#REF!+T25*#REF!+U25*#REF!+V25*#REF!+W25*#REF!+X25*#REF!+Y25*#REF!+Z25*#REF!)</f>
        <v>#REF!</v>
      </c>
      <c r="AB25" s="54"/>
      <c r="AC25" s="92">
        <f t="shared" si="1"/>
        <v>4000</v>
      </c>
    </row>
    <row r="26" spans="1:29" ht="43.2" x14ac:dyDescent="0.3">
      <c r="A26" s="121">
        <v>54</v>
      </c>
      <c r="B26" s="99" t="s">
        <v>69</v>
      </c>
      <c r="C26" s="42" t="s">
        <v>377</v>
      </c>
      <c r="D26" s="42" t="s">
        <v>378</v>
      </c>
      <c r="E26" s="42" t="s">
        <v>379</v>
      </c>
      <c r="F26" s="63">
        <v>20101</v>
      </c>
      <c r="G26" s="64">
        <v>5</v>
      </c>
      <c r="H26" s="25">
        <v>16000</v>
      </c>
      <c r="I26" s="25">
        <v>16000</v>
      </c>
      <c r="J26" s="42" t="s">
        <v>296</v>
      </c>
      <c r="K26" s="42" t="s">
        <v>74</v>
      </c>
      <c r="L26" s="100">
        <v>8000</v>
      </c>
      <c r="M26" s="100">
        <v>8000</v>
      </c>
      <c r="N26" s="42" t="s">
        <v>297</v>
      </c>
      <c r="O26" s="94" t="s">
        <v>298</v>
      </c>
      <c r="P26" s="20" t="str">
        <f t="shared" si="0"/>
        <v>Kaart</v>
      </c>
      <c r="Q26" s="65">
        <v>535.89246791226014</v>
      </c>
      <c r="R26" s="67">
        <v>738</v>
      </c>
      <c r="S26" s="80">
        <v>2</v>
      </c>
      <c r="T26" s="79">
        <v>0</v>
      </c>
      <c r="U26" s="78">
        <v>0</v>
      </c>
      <c r="V26" s="78">
        <v>3</v>
      </c>
      <c r="W26" s="108">
        <v>0</v>
      </c>
      <c r="X26" s="108">
        <v>1</v>
      </c>
      <c r="Y26" s="108">
        <v>1</v>
      </c>
      <c r="Z26" s="108">
        <v>2</v>
      </c>
      <c r="AA26" s="54" t="e">
        <f>IF(Q26&gt;10000,10000,Q26)/(I26-M26)*(S26*#REF!+T26*#REF!+U26*#REF!+V26*#REF!+W26*#REF!+X26*#REF!+Y26*#REF!+Z26*#REF!)</f>
        <v>#REF!</v>
      </c>
      <c r="AB26" s="54"/>
      <c r="AC26" s="92">
        <f t="shared" si="1"/>
        <v>8000</v>
      </c>
    </row>
    <row r="27" spans="1:29" ht="86.4" x14ac:dyDescent="0.3">
      <c r="A27" s="121">
        <v>7</v>
      </c>
      <c r="B27" s="44" t="s">
        <v>43</v>
      </c>
      <c r="C27" s="93" t="s">
        <v>345</v>
      </c>
      <c r="D27" s="93" t="s">
        <v>346</v>
      </c>
      <c r="E27" s="93" t="s">
        <v>347</v>
      </c>
      <c r="F27" s="63">
        <v>45</v>
      </c>
      <c r="G27" s="129">
        <v>11.83</v>
      </c>
      <c r="H27" s="92">
        <v>50000</v>
      </c>
      <c r="I27" s="92">
        <v>50000</v>
      </c>
      <c r="J27" s="93" t="s">
        <v>348</v>
      </c>
      <c r="K27" s="93" t="s">
        <v>349</v>
      </c>
      <c r="L27" s="87" t="s">
        <v>350</v>
      </c>
      <c r="M27" s="87">
        <f>I27*0.15</f>
        <v>7500</v>
      </c>
      <c r="N27" s="93" t="s">
        <v>351</v>
      </c>
      <c r="O27" s="94" t="s">
        <v>352</v>
      </c>
      <c r="P27" s="20" t="str">
        <f t="shared" si="0"/>
        <v>Kaart</v>
      </c>
      <c r="Q27" s="65">
        <v>2342.7761971798736</v>
      </c>
      <c r="R27" s="66">
        <v>3691</v>
      </c>
      <c r="S27" s="78">
        <v>1</v>
      </c>
      <c r="T27" s="79">
        <v>0</v>
      </c>
      <c r="U27" s="78">
        <v>0</v>
      </c>
      <c r="V27" s="78">
        <v>2</v>
      </c>
      <c r="W27" s="54">
        <v>1</v>
      </c>
      <c r="X27" s="54">
        <v>1</v>
      </c>
      <c r="Y27" s="54">
        <v>1</v>
      </c>
      <c r="Z27" s="54">
        <v>2</v>
      </c>
      <c r="AA27" s="54" t="e">
        <f>IF(Q27&gt;10000,10000,Q27)/(I27-M27)*(S27*#REF!+T27*#REF!+U27*#REF!+V27*#REF!+W27*#REF!+X27*#REF!+Y27*#REF!+Z27*#REF!)</f>
        <v>#REF!</v>
      </c>
      <c r="AB27" s="54"/>
      <c r="AC27" s="92">
        <f t="shared" si="1"/>
        <v>42500</v>
      </c>
    </row>
    <row r="28" spans="1:29" ht="101.4" thickBot="1" x14ac:dyDescent="0.35">
      <c r="A28" s="122">
        <v>6</v>
      </c>
      <c r="B28" s="132" t="s">
        <v>53</v>
      </c>
      <c r="C28" s="112" t="s">
        <v>353</v>
      </c>
      <c r="D28" s="112" t="s">
        <v>354</v>
      </c>
      <c r="E28" s="112" t="s">
        <v>355</v>
      </c>
      <c r="F28" s="117">
        <v>11390</v>
      </c>
      <c r="G28" s="133">
        <v>18.55</v>
      </c>
      <c r="H28" s="170">
        <v>150000</v>
      </c>
      <c r="I28" s="170">
        <v>150000</v>
      </c>
      <c r="J28" s="112" t="s">
        <v>107</v>
      </c>
      <c r="K28" s="134" t="s">
        <v>108</v>
      </c>
      <c r="L28" s="135">
        <v>0.5</v>
      </c>
      <c r="M28" s="136">
        <f>I28*0.5</f>
        <v>75000</v>
      </c>
      <c r="N28" s="112" t="s">
        <v>356</v>
      </c>
      <c r="O28" s="137" t="s">
        <v>357</v>
      </c>
      <c r="P28" s="116" t="str">
        <f t="shared" si="0"/>
        <v>Kaart</v>
      </c>
      <c r="Q28" s="138">
        <v>4605.9641192976815</v>
      </c>
      <c r="R28" s="139">
        <v>1966</v>
      </c>
      <c r="S28" s="107">
        <v>0</v>
      </c>
      <c r="T28" s="107">
        <v>0</v>
      </c>
      <c r="U28" s="107">
        <v>0</v>
      </c>
      <c r="V28" s="107">
        <v>3</v>
      </c>
      <c r="W28" s="140">
        <v>0</v>
      </c>
      <c r="X28" s="140">
        <v>1</v>
      </c>
      <c r="Y28" s="140">
        <v>2</v>
      </c>
      <c r="Z28" s="140">
        <v>0</v>
      </c>
      <c r="AA28" s="140" t="e">
        <f>IF(Q28&gt;10000,10000,Q28)/(I28-M28)*(S28*#REF!+T28*#REF!+U28*#REF!+V28*#REF!+W28*#REF!+X28*#REF!+Y28*#REF!+Z28*#REF!)</f>
        <v>#REF!</v>
      </c>
      <c r="AB28" s="140"/>
      <c r="AC28" s="118">
        <f t="shared" si="1"/>
        <v>75000</v>
      </c>
    </row>
    <row r="29" spans="1:29" ht="32.25" customHeight="1" thickBot="1" x14ac:dyDescent="0.35">
      <c r="A29" s="209">
        <f>SUM(AC3:AC28)</f>
        <v>974601</v>
      </c>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1"/>
    </row>
    <row r="30" spans="1:29" ht="86.4" x14ac:dyDescent="0.3">
      <c r="A30" s="72">
        <v>9</v>
      </c>
      <c r="B30" s="141" t="s">
        <v>43</v>
      </c>
      <c r="C30" s="142" t="s">
        <v>300</v>
      </c>
      <c r="D30" s="142" t="s">
        <v>301</v>
      </c>
      <c r="E30" s="142" t="s">
        <v>302</v>
      </c>
      <c r="F30" s="115">
        <v>22253</v>
      </c>
      <c r="G30" s="143">
        <v>6.97</v>
      </c>
      <c r="H30" s="142" t="s">
        <v>303</v>
      </c>
      <c r="I30" s="144">
        <v>50000</v>
      </c>
      <c r="J30" s="142" t="s">
        <v>179</v>
      </c>
      <c r="K30" s="142" t="s">
        <v>83</v>
      </c>
      <c r="L30" s="142" t="s">
        <v>304</v>
      </c>
      <c r="M30" s="145">
        <v>0</v>
      </c>
      <c r="N30" s="142" t="s">
        <v>303</v>
      </c>
      <c r="O30" s="57" t="s">
        <v>272</v>
      </c>
      <c r="P30" s="146" t="str">
        <f>HYPERLINK("https://xgis.maaamet.ee/xgis2/page/app/teeregister?searchid=teeotsing&amp;roadid="&amp;F30&amp;"&amp;begin="&amp;G30&amp;"&amp;end="&amp;G30&amp;"","Kaart")</f>
        <v>Kaart</v>
      </c>
      <c r="Q30" s="147">
        <v>1283.6992218814823</v>
      </c>
      <c r="R30" s="148">
        <v>1271</v>
      </c>
      <c r="S30" s="149">
        <v>0</v>
      </c>
      <c r="T30" s="149">
        <v>0</v>
      </c>
      <c r="U30" s="149">
        <v>0</v>
      </c>
      <c r="V30" s="149">
        <v>2</v>
      </c>
      <c r="W30" s="95">
        <v>1</v>
      </c>
      <c r="X30" s="95">
        <v>2</v>
      </c>
      <c r="Y30" s="95">
        <v>3</v>
      </c>
      <c r="Z30" s="95">
        <v>1</v>
      </c>
      <c r="AA30" s="95" t="e">
        <f>IF(Q30&gt;10000,10000,Q30)/(I30-M30)*(S30*#REF!+T30*#REF!+U30*#REF!+V30*#REF!+W30*#REF!+X30*#REF!+Y30*#REF!+Z30*#REF!)</f>
        <v>#REF!</v>
      </c>
      <c r="AB30" s="150" t="s">
        <v>412</v>
      </c>
      <c r="AC30" s="88">
        <f t="shared" si="1"/>
        <v>50000</v>
      </c>
    </row>
    <row r="31" spans="1:29" ht="89.25" customHeight="1" x14ac:dyDescent="0.3">
      <c r="A31" s="121">
        <v>1</v>
      </c>
      <c r="B31" s="44" t="s">
        <v>62</v>
      </c>
      <c r="C31" s="93" t="s">
        <v>366</v>
      </c>
      <c r="D31" s="93" t="s">
        <v>367</v>
      </c>
      <c r="E31" s="93" t="s">
        <v>368</v>
      </c>
      <c r="F31" s="63">
        <v>13</v>
      </c>
      <c r="G31" s="63" t="s">
        <v>365</v>
      </c>
      <c r="H31" s="92">
        <v>122000</v>
      </c>
      <c r="I31" s="92">
        <v>122000</v>
      </c>
      <c r="J31" s="93" t="s">
        <v>66</v>
      </c>
      <c r="K31" s="17">
        <v>0.5</v>
      </c>
      <c r="L31" s="92">
        <v>61000</v>
      </c>
      <c r="M31" s="92">
        <v>61000</v>
      </c>
      <c r="N31" s="93" t="s">
        <v>67</v>
      </c>
      <c r="O31" s="94" t="s">
        <v>323</v>
      </c>
      <c r="P31" s="20" t="str">
        <f>HYPERLINK("https://xgis.maaamet.ee/xgis2/page/app/teeregister?searchid=teeotsing&amp;roadid="&amp;F31&amp;"&amp;begin="&amp;36.69&amp;"&amp;end="&amp;36.79&amp;"","Kaart")</f>
        <v>Kaart</v>
      </c>
      <c r="Q31" s="65">
        <v>742.67381993108097</v>
      </c>
      <c r="R31" s="66">
        <v>1715</v>
      </c>
      <c r="S31" s="78">
        <v>1</v>
      </c>
      <c r="T31" s="81">
        <v>3</v>
      </c>
      <c r="U31" s="78">
        <v>0</v>
      </c>
      <c r="V31" s="78">
        <v>2</v>
      </c>
      <c r="W31" s="54">
        <v>3</v>
      </c>
      <c r="X31" s="54">
        <v>1</v>
      </c>
      <c r="Y31" s="54">
        <v>3</v>
      </c>
      <c r="Z31" s="54">
        <v>3</v>
      </c>
      <c r="AA31" s="54" t="e">
        <f>IF(Q31&gt;10000,10000,Q31)/(I31-M31)*(S31*#REF!+T31*#REF!+U31*#REF!+V31*#REF!+W31*#REF!+X31*#REF!+Y31*#REF!+Z31*#REF!)</f>
        <v>#REF!</v>
      </c>
      <c r="AB31" s="54"/>
      <c r="AC31" s="92">
        <f t="shared" si="1"/>
        <v>61000</v>
      </c>
    </row>
    <row r="32" spans="1:29" ht="43.2" x14ac:dyDescent="0.3">
      <c r="A32" s="121">
        <v>29</v>
      </c>
      <c r="B32" s="54" t="s">
        <v>369</v>
      </c>
      <c r="C32" s="93" t="s">
        <v>370</v>
      </c>
      <c r="D32" s="93" t="s">
        <v>371</v>
      </c>
      <c r="E32" s="93" t="s">
        <v>372</v>
      </c>
      <c r="F32" s="63">
        <v>15123</v>
      </c>
      <c r="G32" s="111">
        <v>9.84</v>
      </c>
      <c r="H32" s="92" t="s">
        <v>373</v>
      </c>
      <c r="I32" s="92">
        <v>53000</v>
      </c>
      <c r="J32" s="54" t="s">
        <v>374</v>
      </c>
      <c r="K32" s="87" t="s">
        <v>375</v>
      </c>
      <c r="L32" s="92" t="s">
        <v>376</v>
      </c>
      <c r="M32" s="92">
        <v>11000</v>
      </c>
      <c r="N32" s="93" t="s">
        <v>375</v>
      </c>
      <c r="O32" s="123" t="s">
        <v>375</v>
      </c>
      <c r="P32" s="20" t="str">
        <f>HYPERLINK("https://xgis.maaamet.ee/xgis2/page/app/teeregister?searchid=teeotsing&amp;roadid="&amp;F32&amp;"&amp;begin="&amp;G32&amp;"&amp;end="&amp;G32&amp;"","Kaart")</f>
        <v>Kaart</v>
      </c>
      <c r="Q32" s="65">
        <v>690.61544701197852</v>
      </c>
      <c r="R32" s="67">
        <v>631</v>
      </c>
      <c r="S32" s="78">
        <v>0</v>
      </c>
      <c r="T32" s="104">
        <v>3</v>
      </c>
      <c r="U32" s="78">
        <v>0</v>
      </c>
      <c r="V32" s="78">
        <v>2</v>
      </c>
      <c r="W32" s="108">
        <v>2</v>
      </c>
      <c r="X32" s="108">
        <v>1</v>
      </c>
      <c r="Y32" s="108">
        <v>2</v>
      </c>
      <c r="Z32" s="108">
        <v>1</v>
      </c>
      <c r="AA32" s="54" t="e">
        <f>IF(Q32&gt;10000,10000,Q32)/(I32-M32)*(S32*#REF!+T32*#REF!+U32*#REF!+V32*#REF!+W32*#REF!+X32*#REF!+Y32*#REF!+Z32*#REF!)</f>
        <v>#REF!</v>
      </c>
      <c r="AB32" s="54"/>
      <c r="AC32" s="92">
        <f t="shared" si="1"/>
        <v>42000</v>
      </c>
    </row>
    <row r="33" spans="1:29" ht="87.75" customHeight="1" x14ac:dyDescent="0.3">
      <c r="A33" s="121">
        <v>20</v>
      </c>
      <c r="B33" s="54" t="s">
        <v>124</v>
      </c>
      <c r="C33" s="93" t="s">
        <v>402</v>
      </c>
      <c r="D33" s="93" t="s">
        <v>403</v>
      </c>
      <c r="E33" s="93" t="s">
        <v>404</v>
      </c>
      <c r="F33" s="63">
        <v>2</v>
      </c>
      <c r="G33" s="129">
        <v>84.5</v>
      </c>
      <c r="H33" s="92"/>
      <c r="I33" s="92">
        <v>500000</v>
      </c>
      <c r="J33" s="93" t="s">
        <v>405</v>
      </c>
      <c r="K33" s="93"/>
      <c r="L33" s="92"/>
      <c r="M33" s="92"/>
      <c r="N33" s="93" t="s">
        <v>406</v>
      </c>
      <c r="O33" s="123" t="s">
        <v>407</v>
      </c>
      <c r="P33" s="20" t="str">
        <f>HYPERLINK("https://xgis.maaamet.ee/xgis2/page/app/teeregister?searchid=teeotsing&amp;roadid="&amp;F33&amp;"&amp;begin="&amp;G33&amp;"&amp;end="&amp;G33&amp;"","Kaart")</f>
        <v>Kaart</v>
      </c>
      <c r="Q33" s="65">
        <v>5308.9413313265068</v>
      </c>
      <c r="R33" s="67">
        <v>8781</v>
      </c>
      <c r="S33" s="78">
        <v>1</v>
      </c>
      <c r="T33" s="79">
        <v>0</v>
      </c>
      <c r="U33" s="78">
        <v>0</v>
      </c>
      <c r="V33" s="78">
        <v>0</v>
      </c>
      <c r="W33" s="54">
        <v>3</v>
      </c>
      <c r="X33" s="54">
        <v>0</v>
      </c>
      <c r="Y33" s="54">
        <v>2</v>
      </c>
      <c r="Z33" s="54">
        <v>0</v>
      </c>
      <c r="AA33" s="54" t="e">
        <f>IF(Q33&gt;10000,10000,Q33)/(I33-M33)*(S33*#REF!+T33*#REF!+U33*#REF!+V33*#REF!+W33*#REF!+X33*#REF!+Y33*#REF!+Z33*#REF!)</f>
        <v>#REF!</v>
      </c>
      <c r="AB33" s="54"/>
      <c r="AC33" s="92">
        <f t="shared" si="1"/>
        <v>500000</v>
      </c>
    </row>
  </sheetData>
  <sortState xmlns:xlrd2="http://schemas.microsoft.com/office/spreadsheetml/2017/richdata2" ref="A2:AC33">
    <sortCondition descending="1" ref="AA2:AA33"/>
  </sortState>
  <mergeCells count="5">
    <mergeCell ref="B1:E1"/>
    <mergeCell ref="F1:G1"/>
    <mergeCell ref="S1:Z1"/>
    <mergeCell ref="H1:Q1"/>
    <mergeCell ref="A29:AC29"/>
  </mergeCells>
  <phoneticPr fontId="15" type="noConversion"/>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
  <sheetViews>
    <sheetView zoomScale="60" zoomScaleNormal="60" workbookViewId="0">
      <pane ySplit="1" topLeftCell="A2" activePane="bottomLeft" state="frozen"/>
      <selection pane="bottomLeft" activeCell="R6" sqref="R6"/>
    </sheetView>
  </sheetViews>
  <sheetFormatPr defaultColWidth="9.109375" defaultRowHeight="14.4" x14ac:dyDescent="0.3"/>
  <cols>
    <col min="1" max="1" width="4.6640625" style="2" customWidth="1"/>
    <col min="2" max="2" width="9.33203125" style="2" customWidth="1"/>
    <col min="3" max="3" width="10.6640625" style="3" customWidth="1"/>
    <col min="4" max="4" width="28" style="3" customWidth="1"/>
    <col min="5" max="5" width="47.6640625" style="3" customWidth="1"/>
    <col min="6" max="6" width="25.6640625" style="3" customWidth="1"/>
    <col min="7" max="7" width="10" style="2" customWidth="1"/>
    <col min="8" max="8" width="11.109375" style="2" customWidth="1"/>
    <col min="9" max="9" width="10.6640625" style="2" customWidth="1"/>
    <col min="10" max="10" width="10.109375" style="2" customWidth="1"/>
    <col min="11" max="11" width="19.88671875" style="3" customWidth="1"/>
    <col min="12" max="12" width="30.33203125" style="2" customWidth="1"/>
    <col min="13" max="16384" width="9.109375" style="2"/>
  </cols>
  <sheetData>
    <row r="1" spans="1:13" ht="82.5" customHeight="1" x14ac:dyDescent="0.3">
      <c r="A1" s="160" t="s">
        <v>414</v>
      </c>
      <c r="B1" s="160" t="s">
        <v>255</v>
      </c>
      <c r="C1" s="160" t="s">
        <v>6</v>
      </c>
      <c r="D1" s="160" t="s">
        <v>7</v>
      </c>
      <c r="E1" s="160" t="s">
        <v>8</v>
      </c>
      <c r="F1" s="160" t="s">
        <v>9</v>
      </c>
      <c r="G1" s="160" t="s">
        <v>10</v>
      </c>
      <c r="H1" s="160" t="s">
        <v>11</v>
      </c>
      <c r="I1" s="160" t="s">
        <v>12</v>
      </c>
      <c r="J1" s="160" t="s">
        <v>422</v>
      </c>
      <c r="K1" s="160" t="s">
        <v>16</v>
      </c>
      <c r="L1" s="173" t="s">
        <v>465</v>
      </c>
    </row>
    <row r="2" spans="1:13" ht="135.75" customHeight="1" x14ac:dyDescent="0.3">
      <c r="A2" s="54">
        <v>1</v>
      </c>
      <c r="B2" s="161" t="s">
        <v>265</v>
      </c>
      <c r="C2" s="93" t="s">
        <v>34</v>
      </c>
      <c r="D2" s="93" t="s">
        <v>35</v>
      </c>
      <c r="E2" s="93" t="s">
        <v>36</v>
      </c>
      <c r="F2" s="93" t="s">
        <v>37</v>
      </c>
      <c r="G2" s="54">
        <v>38</v>
      </c>
      <c r="H2" s="40">
        <v>3.7</v>
      </c>
      <c r="I2" s="40">
        <v>7.6</v>
      </c>
      <c r="J2" s="21">
        <f t="shared" ref="J2:J7" si="0">I2-H2</f>
        <v>3.8999999999999995</v>
      </c>
      <c r="K2" s="93" t="s">
        <v>38</v>
      </c>
      <c r="L2" s="212" t="str">
        <f>HYPERLINK("https://xgis.maaamet.ee/xgis2/page/app/teeregister?searchid=teeotsing&amp;roadid="&amp;G2&amp;"&amp;begin="&amp;H2&amp;"&amp;end="&amp;I2&amp;"","Kaart")</f>
        <v>Kaart</v>
      </c>
      <c r="M2" s="174"/>
    </row>
    <row r="3" spans="1:13" ht="126.75" customHeight="1" x14ac:dyDescent="0.3">
      <c r="A3" s="54">
        <v>2</v>
      </c>
      <c r="B3" s="161" t="s">
        <v>281</v>
      </c>
      <c r="C3" s="93" t="s">
        <v>62</v>
      </c>
      <c r="D3" s="93" t="s">
        <v>63</v>
      </c>
      <c r="E3" s="93" t="s">
        <v>64</v>
      </c>
      <c r="F3" s="93" t="s">
        <v>65</v>
      </c>
      <c r="G3" s="54">
        <v>11128</v>
      </c>
      <c r="H3" s="54">
        <v>0</v>
      </c>
      <c r="I3" s="32">
        <v>0.53</v>
      </c>
      <c r="J3" s="21">
        <f t="shared" si="0"/>
        <v>0.53</v>
      </c>
      <c r="K3" s="93" t="s">
        <v>66</v>
      </c>
      <c r="L3" s="212" t="str">
        <f t="shared" ref="L3:L10" si="1">HYPERLINK("https://xgis.maaamet.ee/xgis2/page/app/teeregister?searchid=teeotsing&amp;roadid="&amp;G3&amp;"&amp;begin="&amp;H3&amp;"&amp;end="&amp;I3&amp;"","Kaart")</f>
        <v>Kaart</v>
      </c>
    </row>
    <row r="4" spans="1:13" ht="158.4" x14ac:dyDescent="0.3">
      <c r="A4" s="54">
        <v>3</v>
      </c>
      <c r="B4" s="161" t="s">
        <v>265</v>
      </c>
      <c r="C4" s="93" t="s">
        <v>96</v>
      </c>
      <c r="D4" s="93" t="s">
        <v>97</v>
      </c>
      <c r="E4" s="93" t="s">
        <v>98</v>
      </c>
      <c r="F4" s="42" t="s">
        <v>423</v>
      </c>
      <c r="G4" s="54">
        <v>41</v>
      </c>
      <c r="H4" s="40">
        <v>12.2</v>
      </c>
      <c r="I4" s="54">
        <v>13</v>
      </c>
      <c r="J4" s="21">
        <f t="shared" si="0"/>
        <v>0.80000000000000071</v>
      </c>
      <c r="K4" s="93" t="s">
        <v>100</v>
      </c>
      <c r="L4" s="212" t="str">
        <f t="shared" si="1"/>
        <v>Kaart</v>
      </c>
    </row>
    <row r="5" spans="1:13" ht="312" customHeight="1" x14ac:dyDescent="0.3">
      <c r="A5" s="54">
        <v>4</v>
      </c>
      <c r="B5" s="161" t="s">
        <v>281</v>
      </c>
      <c r="C5" s="19" t="s">
        <v>53</v>
      </c>
      <c r="D5" s="93" t="s">
        <v>105</v>
      </c>
      <c r="E5" s="93" t="s">
        <v>424</v>
      </c>
      <c r="F5" s="93" t="s">
        <v>72</v>
      </c>
      <c r="G5" s="54">
        <v>11392</v>
      </c>
      <c r="H5" s="40">
        <v>4</v>
      </c>
      <c r="I5" s="40">
        <v>4.57</v>
      </c>
      <c r="J5" s="21">
        <f t="shared" si="0"/>
        <v>0.57000000000000028</v>
      </c>
      <c r="K5" s="93" t="s">
        <v>107</v>
      </c>
      <c r="L5" s="212" t="str">
        <f t="shared" si="1"/>
        <v>Kaart</v>
      </c>
    </row>
    <row r="6" spans="1:13" ht="312" customHeight="1" x14ac:dyDescent="0.3">
      <c r="A6" s="54">
        <v>5</v>
      </c>
      <c r="B6" s="161" t="s">
        <v>265</v>
      </c>
      <c r="C6" s="93" t="s">
        <v>43</v>
      </c>
      <c r="D6" s="93" t="s">
        <v>117</v>
      </c>
      <c r="E6" s="93" t="s">
        <v>118</v>
      </c>
      <c r="F6" s="93" t="s">
        <v>427</v>
      </c>
      <c r="G6" s="54">
        <v>22103</v>
      </c>
      <c r="H6" s="40">
        <v>3.2</v>
      </c>
      <c r="I6" s="40">
        <v>5.7</v>
      </c>
      <c r="J6" s="21">
        <f t="shared" si="0"/>
        <v>2.5</v>
      </c>
      <c r="K6" s="93" t="s">
        <v>120</v>
      </c>
      <c r="L6" s="212" t="str">
        <f t="shared" si="1"/>
        <v>Kaart</v>
      </c>
    </row>
    <row r="7" spans="1:13" ht="115.2" x14ac:dyDescent="0.3">
      <c r="A7" s="54">
        <v>6</v>
      </c>
      <c r="B7" s="161" t="s">
        <v>299</v>
      </c>
      <c r="C7" s="93" t="s">
        <v>124</v>
      </c>
      <c r="D7" s="93" t="s">
        <v>425</v>
      </c>
      <c r="E7" s="93" t="s">
        <v>426</v>
      </c>
      <c r="F7" s="93" t="s">
        <v>37</v>
      </c>
      <c r="G7" s="54">
        <v>15176</v>
      </c>
      <c r="H7" s="40">
        <v>0.27</v>
      </c>
      <c r="I7" s="40">
        <v>3.1</v>
      </c>
      <c r="J7" s="21">
        <f t="shared" si="0"/>
        <v>2.83</v>
      </c>
      <c r="K7" s="93" t="s">
        <v>127</v>
      </c>
      <c r="L7" s="212" t="str">
        <f t="shared" si="1"/>
        <v>Kaart</v>
      </c>
    </row>
    <row r="8" spans="1:13" ht="283.5" customHeight="1" x14ac:dyDescent="0.3">
      <c r="A8" s="54">
        <v>7</v>
      </c>
      <c r="B8" s="33" t="s">
        <v>281</v>
      </c>
      <c r="C8" s="93" t="s">
        <v>53</v>
      </c>
      <c r="D8" s="93" t="s">
        <v>415</v>
      </c>
      <c r="E8" s="93" t="s">
        <v>416</v>
      </c>
      <c r="F8" s="93" t="s">
        <v>417</v>
      </c>
      <c r="G8" s="93">
        <v>11203</v>
      </c>
      <c r="H8" s="102">
        <v>0.47</v>
      </c>
      <c r="I8" s="102">
        <v>4</v>
      </c>
      <c r="J8" s="102">
        <v>3.5300000000000002</v>
      </c>
      <c r="K8" s="93" t="s">
        <v>418</v>
      </c>
      <c r="L8" s="212" t="str">
        <f t="shared" si="1"/>
        <v>Kaart</v>
      </c>
    </row>
    <row r="9" spans="1:13" ht="43.2" x14ac:dyDescent="0.3">
      <c r="A9" s="54">
        <v>8</v>
      </c>
      <c r="B9" s="40" t="s">
        <v>281</v>
      </c>
      <c r="C9" s="168" t="s">
        <v>53</v>
      </c>
      <c r="D9" s="168" t="s">
        <v>141</v>
      </c>
      <c r="E9" s="42" t="s">
        <v>142</v>
      </c>
      <c r="F9" s="33" t="s">
        <v>428</v>
      </c>
      <c r="G9" s="54">
        <v>11381</v>
      </c>
      <c r="H9" s="40">
        <v>7.7</v>
      </c>
      <c r="I9" s="40">
        <v>8.3000000000000007</v>
      </c>
      <c r="J9" s="21">
        <f>I9-H9</f>
        <v>0.60000000000000053</v>
      </c>
      <c r="K9" s="93" t="s">
        <v>144</v>
      </c>
      <c r="L9" s="212" t="str">
        <f t="shared" si="1"/>
        <v>Kaart</v>
      </c>
    </row>
    <row r="10" spans="1:13" ht="43.2" x14ac:dyDescent="0.3">
      <c r="A10" s="54">
        <v>9</v>
      </c>
      <c r="B10" s="161" t="s">
        <v>265</v>
      </c>
      <c r="C10" s="93" t="s">
        <v>43</v>
      </c>
      <c r="D10" s="93" t="s">
        <v>176</v>
      </c>
      <c r="E10" s="93" t="s">
        <v>177</v>
      </c>
      <c r="F10" s="93" t="s">
        <v>37</v>
      </c>
      <c r="G10" s="54">
        <v>22251</v>
      </c>
      <c r="H10" s="40">
        <v>3.57</v>
      </c>
      <c r="I10" s="40">
        <v>5</v>
      </c>
      <c r="J10" s="21">
        <f>I10-H10</f>
        <v>1.4300000000000002</v>
      </c>
      <c r="K10" s="93" t="s">
        <v>179</v>
      </c>
      <c r="L10" s="212" t="str">
        <f t="shared" si="1"/>
        <v>Kaart</v>
      </c>
    </row>
  </sheetData>
  <phoneticPr fontId="1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166E-DE61-40A7-A17E-0E510975A2C5}">
  <dimension ref="A1:J9"/>
  <sheetViews>
    <sheetView workbookViewId="0">
      <selection activeCell="L8" sqref="L8"/>
    </sheetView>
  </sheetViews>
  <sheetFormatPr defaultColWidth="9.109375" defaultRowHeight="14.4" x14ac:dyDescent="0.3"/>
  <cols>
    <col min="1" max="1" width="7.44140625" style="2" customWidth="1"/>
    <col min="2" max="2" width="10.33203125" style="2" bestFit="1" customWidth="1"/>
    <col min="3" max="3" width="11.5546875" style="2" customWidth="1"/>
    <col min="4" max="4" width="11.6640625" style="2" customWidth="1"/>
    <col min="5" max="5" width="11.33203125" style="3" customWidth="1"/>
    <col min="6" max="6" width="21" style="3" customWidth="1"/>
    <col min="7" max="7" width="73" style="3" customWidth="1"/>
    <col min="8" max="8" width="47.88671875" style="3" customWidth="1"/>
    <col min="9" max="9" width="18.5546875" style="2" customWidth="1"/>
    <col min="10" max="10" width="31.44140625" style="2" customWidth="1"/>
    <col min="11" max="16384" width="9.109375" style="2"/>
  </cols>
  <sheetData>
    <row r="1" spans="1:10" ht="43.8" customHeight="1" x14ac:dyDescent="0.3">
      <c r="A1" s="173" t="s">
        <v>414</v>
      </c>
      <c r="B1" s="173" t="s">
        <v>10</v>
      </c>
      <c r="C1" s="173" t="s">
        <v>254</v>
      </c>
      <c r="D1" s="173" t="s">
        <v>255</v>
      </c>
      <c r="E1" s="173" t="s">
        <v>6</v>
      </c>
      <c r="F1" s="173" t="s">
        <v>256</v>
      </c>
      <c r="G1" s="173" t="s">
        <v>8</v>
      </c>
      <c r="H1" s="173" t="s">
        <v>9</v>
      </c>
      <c r="I1" s="173" t="s">
        <v>16</v>
      </c>
      <c r="J1" s="173" t="s">
        <v>465</v>
      </c>
    </row>
    <row r="2" spans="1:10" ht="129.6" x14ac:dyDescent="0.3">
      <c r="A2" s="180">
        <v>1</v>
      </c>
      <c r="B2" s="41">
        <v>1</v>
      </c>
      <c r="C2" s="43">
        <v>185.7</v>
      </c>
      <c r="D2" s="43" t="s">
        <v>299</v>
      </c>
      <c r="E2" s="93" t="s">
        <v>305</v>
      </c>
      <c r="F2" s="93" t="s">
        <v>306</v>
      </c>
      <c r="G2" s="93" t="s">
        <v>429</v>
      </c>
      <c r="H2" s="93" t="s">
        <v>430</v>
      </c>
      <c r="I2" s="93" t="s">
        <v>309</v>
      </c>
      <c r="J2" s="213" t="str">
        <f>HYPERLINK("https://xgis.maaamet.ee/xgis2/page/app/teeregister?searchid=teeotsing&amp;roadid="&amp;B2&amp;"&amp;begin="&amp;C2&amp;"&amp;end="&amp;C2&amp;"","Kaart")</f>
        <v>Kaart</v>
      </c>
    </row>
    <row r="3" spans="1:10" ht="144" x14ac:dyDescent="0.3">
      <c r="A3" s="181">
        <v>2</v>
      </c>
      <c r="B3" s="41">
        <v>11251</v>
      </c>
      <c r="C3" s="43">
        <v>2.6</v>
      </c>
      <c r="D3" s="43" t="s">
        <v>281</v>
      </c>
      <c r="E3" s="93" t="s">
        <v>53</v>
      </c>
      <c r="F3" s="93" t="s">
        <v>320</v>
      </c>
      <c r="G3" s="93" t="s">
        <v>321</v>
      </c>
      <c r="H3" s="93" t="s">
        <v>322</v>
      </c>
      <c r="I3" s="93" t="s">
        <v>57</v>
      </c>
      <c r="J3" s="213" t="str">
        <f t="shared" ref="J3:J8" si="0">HYPERLINK("https://xgis.maaamet.ee/xgis2/page/app/teeregister?searchid=teeotsing&amp;roadid="&amp;B3&amp;"&amp;begin="&amp;C3&amp;"&amp;end="&amp;C3&amp;"","Kaart")</f>
        <v>Kaart</v>
      </c>
    </row>
    <row r="4" spans="1:10" ht="28.8" x14ac:dyDescent="0.3">
      <c r="A4" s="180">
        <v>3</v>
      </c>
      <c r="B4" s="41">
        <v>22154</v>
      </c>
      <c r="C4" s="182">
        <v>3.44</v>
      </c>
      <c r="D4" s="182" t="s">
        <v>265</v>
      </c>
      <c r="E4" s="93" t="s">
        <v>43</v>
      </c>
      <c r="F4" s="93" t="s">
        <v>327</v>
      </c>
      <c r="G4" s="93" t="s">
        <v>431</v>
      </c>
      <c r="H4" s="93" t="s">
        <v>329</v>
      </c>
      <c r="I4" s="93" t="s">
        <v>330</v>
      </c>
      <c r="J4" s="213" t="str">
        <f t="shared" si="0"/>
        <v>Kaart</v>
      </c>
    </row>
    <row r="5" spans="1:10" ht="158.4" x14ac:dyDescent="0.3">
      <c r="A5" s="181">
        <v>4</v>
      </c>
      <c r="B5" s="41">
        <v>11251</v>
      </c>
      <c r="C5" s="43">
        <v>3.7</v>
      </c>
      <c r="D5" s="43" t="s">
        <v>281</v>
      </c>
      <c r="E5" s="93" t="s">
        <v>53</v>
      </c>
      <c r="F5" s="93" t="s">
        <v>337</v>
      </c>
      <c r="G5" s="93" t="s">
        <v>338</v>
      </c>
      <c r="H5" s="93" t="s">
        <v>339</v>
      </c>
      <c r="I5" s="93" t="s">
        <v>57</v>
      </c>
      <c r="J5" s="213" t="str">
        <f t="shared" si="0"/>
        <v>Kaart</v>
      </c>
    </row>
    <row r="6" spans="1:10" ht="28.8" x14ac:dyDescent="0.3">
      <c r="A6" s="180">
        <v>5</v>
      </c>
      <c r="B6" s="41">
        <v>3</v>
      </c>
      <c r="C6" s="182">
        <v>150.77099999999999</v>
      </c>
      <c r="D6" s="182" t="s">
        <v>265</v>
      </c>
      <c r="E6" s="93" t="s">
        <v>43</v>
      </c>
      <c r="F6" s="93" t="s">
        <v>340</v>
      </c>
      <c r="G6" s="93" t="s">
        <v>341</v>
      </c>
      <c r="H6" s="93" t="s">
        <v>342</v>
      </c>
      <c r="I6" s="33" t="s">
        <v>330</v>
      </c>
      <c r="J6" s="213" t="str">
        <f t="shared" si="0"/>
        <v>Kaart</v>
      </c>
    </row>
    <row r="7" spans="1:10" ht="72" x14ac:dyDescent="0.3">
      <c r="A7" s="181">
        <v>6</v>
      </c>
      <c r="B7" s="41">
        <v>45</v>
      </c>
      <c r="C7" s="162">
        <v>11.83</v>
      </c>
      <c r="D7" s="162" t="s">
        <v>265</v>
      </c>
      <c r="E7" s="93" t="s">
        <v>43</v>
      </c>
      <c r="F7" s="93" t="s">
        <v>345</v>
      </c>
      <c r="G7" s="93" t="s">
        <v>432</v>
      </c>
      <c r="H7" s="93" t="s">
        <v>347</v>
      </c>
      <c r="I7" s="93" t="s">
        <v>348</v>
      </c>
      <c r="J7" s="213" t="str">
        <f t="shared" si="0"/>
        <v>Kaart</v>
      </c>
    </row>
    <row r="8" spans="1:10" ht="216" x14ac:dyDescent="0.3">
      <c r="A8" s="183">
        <v>7</v>
      </c>
      <c r="B8" s="127">
        <v>23164</v>
      </c>
      <c r="C8" s="129" t="s">
        <v>433</v>
      </c>
      <c r="D8" s="63" t="s">
        <v>265</v>
      </c>
      <c r="E8" s="33" t="s">
        <v>434</v>
      </c>
      <c r="F8" s="33" t="s">
        <v>435</v>
      </c>
      <c r="G8" s="23" t="s">
        <v>436</v>
      </c>
      <c r="H8" s="184" t="s">
        <v>437</v>
      </c>
      <c r="I8" s="93" t="s">
        <v>438</v>
      </c>
      <c r="J8" s="213" t="str">
        <f t="shared" si="0"/>
        <v>Kaart</v>
      </c>
    </row>
    <row r="9" spans="1:10" x14ac:dyDescent="0.3">
      <c r="A9" s="18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83E34-BD83-4670-9BBB-20E609E50900}">
  <dimension ref="A1:AY51"/>
  <sheetViews>
    <sheetView zoomScale="80" zoomScaleNormal="80" workbookViewId="0">
      <selection activeCell="M6" sqref="M6"/>
    </sheetView>
  </sheetViews>
  <sheetFormatPr defaultColWidth="9.109375" defaultRowHeight="14.4" x14ac:dyDescent="0.3"/>
  <cols>
    <col min="1" max="1" width="4.6640625" style="189" customWidth="1"/>
    <col min="2" max="2" width="9.33203125" style="188" customWidth="1"/>
    <col min="3" max="3" width="10.6640625" style="196" customWidth="1"/>
    <col min="4" max="4" width="27" style="196" customWidth="1"/>
    <col min="5" max="5" width="84.6640625" style="196" customWidth="1"/>
    <col min="6" max="6" width="30.44140625" style="196" customWidth="1"/>
    <col min="7" max="7" width="10" style="188" customWidth="1"/>
    <col min="8" max="8" width="11.109375" style="188" customWidth="1"/>
    <col min="9" max="9" width="10.6640625" style="188" customWidth="1"/>
    <col min="10" max="10" width="17.44140625" style="188" customWidth="1"/>
    <col min="11" max="11" width="19.88671875" style="196" customWidth="1"/>
    <col min="12" max="12" width="34.88671875" style="188" customWidth="1"/>
    <col min="13" max="13" width="30.33203125" style="188" customWidth="1"/>
    <col min="14" max="16384" width="9.109375" style="188"/>
  </cols>
  <sheetData>
    <row r="1" spans="1:51" s="189" customFormat="1" ht="57.6" x14ac:dyDescent="0.3">
      <c r="A1" s="186" t="s">
        <v>414</v>
      </c>
      <c r="B1" s="186" t="s">
        <v>255</v>
      </c>
      <c r="C1" s="186" t="s">
        <v>6</v>
      </c>
      <c r="D1" s="186" t="s">
        <v>7</v>
      </c>
      <c r="E1" s="186" t="s">
        <v>8</v>
      </c>
      <c r="F1" s="186" t="s">
        <v>9</v>
      </c>
      <c r="G1" s="187" t="s">
        <v>10</v>
      </c>
      <c r="H1" s="186" t="s">
        <v>11</v>
      </c>
      <c r="I1" s="186" t="s">
        <v>12</v>
      </c>
      <c r="J1" s="186" t="s">
        <v>13</v>
      </c>
      <c r="K1" s="186" t="s">
        <v>16</v>
      </c>
      <c r="L1" s="186" t="s">
        <v>464</v>
      </c>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row>
    <row r="2" spans="1:51" s="189" customFormat="1" ht="113.4" customHeight="1" x14ac:dyDescent="0.3">
      <c r="A2" s="59">
        <v>1</v>
      </c>
      <c r="B2" s="59" t="s">
        <v>281</v>
      </c>
      <c r="C2" s="59" t="s">
        <v>53</v>
      </c>
      <c r="D2" s="59" t="s">
        <v>439</v>
      </c>
      <c r="E2" s="59" t="s">
        <v>440</v>
      </c>
      <c r="F2" s="59" t="s">
        <v>72</v>
      </c>
      <c r="G2" s="59">
        <v>11390</v>
      </c>
      <c r="H2" s="190">
        <v>6.3</v>
      </c>
      <c r="I2" s="190">
        <v>7.2</v>
      </c>
      <c r="J2" s="97">
        <v>0.90000000000000036</v>
      </c>
      <c r="K2" s="59" t="s">
        <v>107</v>
      </c>
      <c r="L2" s="212" t="str">
        <f>HYPERLINK("https://xgis.maaamet.ee/xgis2/page/app/teeregister?searchid=teeotsing&amp;roadid="&amp;G2&amp;"&amp;begin="&amp;H2&amp;"&amp;end="&amp;I2&amp;"","Kaart")</f>
        <v>Kaart</v>
      </c>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row>
    <row r="3" spans="1:51" s="189" customFormat="1" ht="117" customHeight="1" x14ac:dyDescent="0.3">
      <c r="A3" s="59">
        <v>2</v>
      </c>
      <c r="B3" s="59" t="s">
        <v>265</v>
      </c>
      <c r="C3" s="59" t="s">
        <v>441</v>
      </c>
      <c r="D3" s="59" t="s">
        <v>442</v>
      </c>
      <c r="E3" s="59" t="s">
        <v>443</v>
      </c>
      <c r="F3" s="59" t="s">
        <v>444</v>
      </c>
      <c r="G3" s="59">
        <v>87</v>
      </c>
      <c r="H3" s="191">
        <v>3.3820000000000001</v>
      </c>
      <c r="I3" s="191">
        <v>6.0339999999999998</v>
      </c>
      <c r="J3" s="97">
        <v>2.6519999999999997</v>
      </c>
      <c r="K3" s="59" t="s">
        <v>445</v>
      </c>
      <c r="L3" s="212" t="str">
        <f t="shared" ref="L3:L9" si="0">HYPERLINK("https://xgis.maaamet.ee/xgis2/page/app/teeregister?searchid=teeotsing&amp;roadid="&amp;G3&amp;"&amp;begin="&amp;H3&amp;"&amp;end="&amp;I3&amp;"","Kaart")</f>
        <v>Kaart</v>
      </c>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row>
    <row r="4" spans="1:51" s="189" customFormat="1" ht="28.8" x14ac:dyDescent="0.3">
      <c r="A4" s="59">
        <v>3</v>
      </c>
      <c r="B4" s="59" t="s">
        <v>265</v>
      </c>
      <c r="C4" s="59" t="s">
        <v>96</v>
      </c>
      <c r="D4" s="59" t="s">
        <v>446</v>
      </c>
      <c r="E4" s="59" t="s">
        <v>447</v>
      </c>
      <c r="F4" s="59" t="s">
        <v>448</v>
      </c>
      <c r="G4" s="59">
        <v>3</v>
      </c>
      <c r="H4" s="190">
        <v>122.2</v>
      </c>
      <c r="I4" s="190">
        <v>126.4</v>
      </c>
      <c r="J4" s="97">
        <v>4.2000000000000028</v>
      </c>
      <c r="K4" s="59" t="s">
        <v>100</v>
      </c>
      <c r="L4" s="212" t="str">
        <f t="shared" si="0"/>
        <v>Kaart</v>
      </c>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row>
    <row r="5" spans="1:51" s="189" customFormat="1" ht="114.6" customHeight="1" x14ac:dyDescent="0.3">
      <c r="A5" s="59">
        <v>4</v>
      </c>
      <c r="B5" s="59" t="s">
        <v>265</v>
      </c>
      <c r="C5" s="59" t="s">
        <v>43</v>
      </c>
      <c r="D5" s="59" t="s">
        <v>449</v>
      </c>
      <c r="E5" s="59" t="s">
        <v>450</v>
      </c>
      <c r="F5" s="59" t="s">
        <v>451</v>
      </c>
      <c r="G5" s="59">
        <v>22155</v>
      </c>
      <c r="H5" s="191">
        <v>2.5000000000000001E-2</v>
      </c>
      <c r="I5" s="191">
        <v>1.01</v>
      </c>
      <c r="J5" s="97">
        <v>0.98499999999999999</v>
      </c>
      <c r="K5" s="59" t="s">
        <v>330</v>
      </c>
      <c r="L5" s="212" t="str">
        <f t="shared" si="0"/>
        <v>Kaart</v>
      </c>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row>
    <row r="6" spans="1:51" s="189" customFormat="1" ht="310.2" customHeight="1" x14ac:dyDescent="0.3">
      <c r="A6" s="59">
        <v>5</v>
      </c>
      <c r="B6" s="192" t="s">
        <v>281</v>
      </c>
      <c r="C6" s="193" t="s">
        <v>452</v>
      </c>
      <c r="D6" s="193" t="s">
        <v>453</v>
      </c>
      <c r="E6" s="194" t="s">
        <v>454</v>
      </c>
      <c r="F6" s="193" t="s">
        <v>72</v>
      </c>
      <c r="G6" s="192">
        <v>20171</v>
      </c>
      <c r="H6" s="195">
        <v>0.05</v>
      </c>
      <c r="I6" s="195">
        <v>3.2</v>
      </c>
      <c r="J6" s="195">
        <f>I6-H6</f>
        <v>3.1500000000000004</v>
      </c>
      <c r="K6" s="193" t="s">
        <v>455</v>
      </c>
      <c r="L6" s="212" t="str">
        <f t="shared" si="0"/>
        <v>Kaart</v>
      </c>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row>
    <row r="7" spans="1:51" s="189" customFormat="1" ht="57.6" x14ac:dyDescent="0.3">
      <c r="A7" s="59">
        <v>6</v>
      </c>
      <c r="B7" s="59" t="s">
        <v>265</v>
      </c>
      <c r="C7" s="59" t="s">
        <v>43</v>
      </c>
      <c r="D7" s="59" t="s">
        <v>456</v>
      </c>
      <c r="E7" s="59" t="s">
        <v>457</v>
      </c>
      <c r="F7" s="59" t="s">
        <v>458</v>
      </c>
      <c r="G7" s="59">
        <v>3</v>
      </c>
      <c r="H7" s="191">
        <v>143.85</v>
      </c>
      <c r="I7" s="191">
        <v>147.27500000000001</v>
      </c>
      <c r="J7" s="97">
        <v>3.4250000000000114</v>
      </c>
      <c r="K7" s="59" t="s">
        <v>330</v>
      </c>
      <c r="L7" s="212" t="str">
        <f t="shared" si="0"/>
        <v>Kaart</v>
      </c>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row>
    <row r="8" spans="1:51" s="189" customFormat="1" ht="57.6" x14ac:dyDescent="0.3">
      <c r="A8" s="59">
        <v>7</v>
      </c>
      <c r="B8" s="59" t="s">
        <v>265</v>
      </c>
      <c r="C8" s="59" t="s">
        <v>43</v>
      </c>
      <c r="D8" s="59" t="s">
        <v>459</v>
      </c>
      <c r="E8" s="59" t="s">
        <v>460</v>
      </c>
      <c r="F8" s="59" t="s">
        <v>461</v>
      </c>
      <c r="G8" s="59">
        <v>22154</v>
      </c>
      <c r="H8" s="59">
        <v>3.2</v>
      </c>
      <c r="I8" s="59">
        <v>3.54</v>
      </c>
      <c r="J8" s="97">
        <v>0.33999999999999986</v>
      </c>
      <c r="K8" s="59" t="s">
        <v>330</v>
      </c>
      <c r="L8" s="212" t="str">
        <f t="shared" si="0"/>
        <v>Kaart</v>
      </c>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row>
    <row r="9" spans="1:51" s="189" customFormat="1" ht="28.8" x14ac:dyDescent="0.3">
      <c r="A9" s="59">
        <v>8</v>
      </c>
      <c r="B9" s="59" t="s">
        <v>281</v>
      </c>
      <c r="C9" s="59" t="s">
        <v>69</v>
      </c>
      <c r="D9" s="59" t="s">
        <v>462</v>
      </c>
      <c r="E9" s="59" t="s">
        <v>463</v>
      </c>
      <c r="F9" s="59" t="s">
        <v>72</v>
      </c>
      <c r="G9" s="59">
        <v>28</v>
      </c>
      <c r="H9" s="191">
        <v>0.36499999999999999</v>
      </c>
      <c r="I9" s="191">
        <v>3.9649999999999999</v>
      </c>
      <c r="J9" s="97">
        <v>3.5999999999999996</v>
      </c>
      <c r="K9" s="59" t="s">
        <v>134</v>
      </c>
      <c r="L9" s="212" t="str">
        <f t="shared" si="0"/>
        <v>Kaart</v>
      </c>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row>
    <row r="11" spans="1:51" x14ac:dyDescent="0.3">
      <c r="A11" s="188"/>
    </row>
    <row r="12" spans="1:51" x14ac:dyDescent="0.3">
      <c r="A12" s="188"/>
    </row>
    <row r="13" spans="1:51" x14ac:dyDescent="0.3">
      <c r="A13" s="188"/>
    </row>
    <row r="14" spans="1:51" x14ac:dyDescent="0.3">
      <c r="A14" s="188"/>
    </row>
    <row r="15" spans="1:51" x14ac:dyDescent="0.3">
      <c r="A15" s="188"/>
    </row>
    <row r="16" spans="1:51" x14ac:dyDescent="0.3">
      <c r="A16" s="188"/>
    </row>
    <row r="17" spans="1:1" x14ac:dyDescent="0.3">
      <c r="A17" s="188"/>
    </row>
    <row r="18" spans="1:1" x14ac:dyDescent="0.3">
      <c r="A18" s="188"/>
    </row>
    <row r="19" spans="1:1" x14ac:dyDescent="0.3">
      <c r="A19" s="188"/>
    </row>
    <row r="20" spans="1:1" x14ac:dyDescent="0.3">
      <c r="A20" s="188"/>
    </row>
    <row r="21" spans="1:1" x14ac:dyDescent="0.3">
      <c r="A21" s="188"/>
    </row>
    <row r="22" spans="1:1" x14ac:dyDescent="0.3">
      <c r="A22" s="188"/>
    </row>
    <row r="23" spans="1:1" x14ac:dyDescent="0.3">
      <c r="A23" s="188"/>
    </row>
    <row r="24" spans="1:1" x14ac:dyDescent="0.3">
      <c r="A24" s="188"/>
    </row>
    <row r="25" spans="1:1" x14ac:dyDescent="0.3">
      <c r="A25" s="188"/>
    </row>
    <row r="26" spans="1:1" x14ac:dyDescent="0.3">
      <c r="A26" s="188"/>
    </row>
    <row r="27" spans="1:1" x14ac:dyDescent="0.3">
      <c r="A27" s="188"/>
    </row>
    <row r="28" spans="1:1" x14ac:dyDescent="0.3">
      <c r="A28" s="188"/>
    </row>
    <row r="29" spans="1:1" x14ac:dyDescent="0.3">
      <c r="A29" s="188"/>
    </row>
    <row r="30" spans="1:1" x14ac:dyDescent="0.3">
      <c r="A30" s="188"/>
    </row>
    <row r="31" spans="1:1" x14ac:dyDescent="0.3">
      <c r="A31" s="188"/>
    </row>
    <row r="32" spans="1:1" x14ac:dyDescent="0.3">
      <c r="A32" s="188"/>
    </row>
    <row r="33" spans="1:1" x14ac:dyDescent="0.3">
      <c r="A33" s="188"/>
    </row>
    <row r="34" spans="1:1" x14ac:dyDescent="0.3">
      <c r="A34" s="188"/>
    </row>
    <row r="35" spans="1:1" x14ac:dyDescent="0.3">
      <c r="A35" s="188"/>
    </row>
    <row r="36" spans="1:1" x14ac:dyDescent="0.3">
      <c r="A36" s="188"/>
    </row>
    <row r="37" spans="1:1" x14ac:dyDescent="0.3">
      <c r="A37" s="188"/>
    </row>
    <row r="38" spans="1:1" x14ac:dyDescent="0.3">
      <c r="A38" s="188"/>
    </row>
    <row r="39" spans="1:1" x14ac:dyDescent="0.3">
      <c r="A39" s="188"/>
    </row>
    <row r="40" spans="1:1" x14ac:dyDescent="0.3">
      <c r="A40" s="188"/>
    </row>
    <row r="41" spans="1:1" x14ac:dyDescent="0.3">
      <c r="A41" s="188"/>
    </row>
    <row r="42" spans="1:1" x14ac:dyDescent="0.3">
      <c r="A42" s="188"/>
    </row>
    <row r="43" spans="1:1" x14ac:dyDescent="0.3">
      <c r="A43" s="188"/>
    </row>
    <row r="44" spans="1:1" x14ac:dyDescent="0.3">
      <c r="A44" s="188"/>
    </row>
    <row r="45" spans="1:1" x14ac:dyDescent="0.3">
      <c r="A45" s="188"/>
    </row>
    <row r="46" spans="1:1" x14ac:dyDescent="0.3">
      <c r="A46" s="188"/>
    </row>
    <row r="47" spans="1:1" x14ac:dyDescent="0.3">
      <c r="A47" s="188"/>
    </row>
    <row r="48" spans="1:1" x14ac:dyDescent="0.3">
      <c r="A48" s="188"/>
    </row>
    <row r="49" spans="1:1" x14ac:dyDescent="0.3">
      <c r="A49" s="188"/>
    </row>
    <row r="50" spans="1:1" x14ac:dyDescent="0.3">
      <c r="A50" s="188"/>
    </row>
    <row r="51" spans="1:1" x14ac:dyDescent="0.3">
      <c r="A51" s="18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986911D2516D419BB1A307DA4D41B1" ma:contentTypeVersion="12" ma:contentTypeDescription="Create a new document." ma:contentTypeScope="" ma:versionID="bdc3c97db77b367d75435b2ac3908190">
  <xsd:schema xmlns:xsd="http://www.w3.org/2001/XMLSchema" xmlns:xs="http://www.w3.org/2001/XMLSchema" xmlns:p="http://schemas.microsoft.com/office/2006/metadata/properties" xmlns:ns2="ae0bc94f-9278-4df0-a82b-ce0ffcc52a1a" xmlns:ns3="741435ba-afb6-4c24-aea1-62499a835ed0" targetNamespace="http://schemas.microsoft.com/office/2006/metadata/properties" ma:root="true" ma:fieldsID="c5ca4a4b7f7cab46038af0a1a4d6d0c6" ns2:_="" ns3:_="">
    <xsd:import namespace="ae0bc94f-9278-4df0-a82b-ce0ffcc52a1a"/>
    <xsd:import namespace="741435ba-afb6-4c24-aea1-62499a835e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c94f-9278-4df0-a82b-ce0ffcc52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1435ba-afb6-4c24-aea1-62499a835ed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C7C52A-5C4D-47E4-929F-CC0AC675D7E5}">
  <ds:schemaRefs>
    <ds:schemaRef ds:uri="http://schemas.microsoft.com/sharepoint/v3/contenttype/forms"/>
  </ds:schemaRefs>
</ds:datastoreItem>
</file>

<file path=customXml/itemProps2.xml><?xml version="1.0" encoding="utf-8"?>
<ds:datastoreItem xmlns:ds="http://schemas.openxmlformats.org/officeDocument/2006/customXml" ds:itemID="{13514056-3269-4290-804E-ACBAF1BEF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c94f-9278-4df0-a82b-ce0ffcc52a1a"/>
    <ds:schemaRef ds:uri="741435ba-afb6-4c24-aea1-62499a835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6192EA-02F9-4905-9783-71936556DDA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7</vt:i4>
      </vt:variant>
    </vt:vector>
  </HeadingPairs>
  <TitlesOfParts>
    <vt:vector size="7" baseType="lpstr">
      <vt:lpstr>Kergliiklusteed (2)</vt:lpstr>
      <vt:lpstr>2022 peatused</vt:lpstr>
      <vt:lpstr>ÜT-peatused (2)</vt:lpstr>
      <vt:lpstr>ÜT-peatused</vt:lpstr>
      <vt:lpstr>2022 kergliiklusteed</vt:lpstr>
      <vt:lpstr>2023 peatused</vt:lpstr>
      <vt:lpstr>2023 kergliiklusteed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2022-01-20T14:25:49Z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0x01010063986911D2516D419BB1A307DA4D41B1</vt:lpwstr>
  </property>
</Properties>
</file>